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/>
  <mc:AlternateContent xmlns:mc="http://schemas.openxmlformats.org/markup-compatibility/2006">
    <mc:Choice Requires="x15">
      <x15ac:absPath xmlns:x15ac="http://schemas.microsoft.com/office/spreadsheetml/2010/11/ac" url="/Users/clairesarmiento/Downloads/"/>
    </mc:Choice>
  </mc:AlternateContent>
  <xr:revisionPtr revIDLastSave="0" documentId="8_{23097FEA-6BAF-8349-BCB1-CACA7DCAA39C}" xr6:coauthVersionLast="47" xr6:coauthVersionMax="47" xr10:uidLastSave="{00000000-0000-0000-0000-000000000000}"/>
  <bookViews>
    <workbookView xWindow="0" yWindow="0" windowWidth="27320" windowHeight="1536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<sst xmlns="http://schemas.openxmlformats.org/spreadsheetml/2006/main" count="652" uniqueCount="174">
  <si>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</si>
  <si>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</si>
  <si>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</si>
  <si>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</si>
  <si>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</si>
  <si>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</si>
  <si>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</si>
  <si>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</si>
  <si>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</si>
  <si>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</si>
  <si>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</si>
  <si>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</si>
  <si>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</si>
  <si>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</si>
  <si>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</si>
  <si>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</si>
  <si>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</si>
  <si>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</si>
  <si>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</si>
  <si>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</si>
  <si>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</si>
  <si>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</si>
  <si>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</si>
  <si>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</si>
  <si>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</si>
  <si>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</si>
  <si>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May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</si>
  <si>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</si>
  <si>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</si>
  <si>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</si>
  <si>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</si>
  <si>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</si>
  <si>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</si>
  <si>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</si>
  <si>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</si>
  <si>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</si>
  <si>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</si>
  <si>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21/09/2021</t>
  </si>
  <si>
    <t>pcmc.registry</t>
  </si>
  <si>
    <t>Old</t>
  </si>
  <si>
    <t>Male</t>
  </si>
  <si>
    <t>20/06/2004</t>
  </si>
  <si>
    <t>D. Preoperative Risk Assesment (z01.81)</t>
  </si>
  <si>
    <t>Z01.81</t>
  </si>
  <si>
    <t>CKD sec to Chronic Glomerulonephritis</t>
  </si>
  <si>
    <t>New</t>
  </si>
  <si>
    <t>Female</t>
  </si>
  <si>
    <t>18/03/2019</t>
  </si>
  <si>
    <t>D18. 03</t>
  </si>
  <si>
    <t>Hepatic Hemagioma</t>
  </si>
  <si>
    <t>03/01/2019</t>
  </si>
  <si>
    <t>B. Neuromuscular Diseases</t>
  </si>
  <si>
    <t>G12.9</t>
  </si>
  <si>
    <t>Spinal Muscular Atrophy</t>
  </si>
  <si>
    <t>B. Lower Respiratory Tract</t>
  </si>
  <si>
    <t>2. Health Care Associated pneumonia</t>
  </si>
  <si>
    <t>J18.0</t>
  </si>
  <si>
    <t>Health Care Associated Pneumonia</t>
  </si>
  <si>
    <t>26/06/2017</t>
  </si>
  <si>
    <t>1. Pneumonia, community acquired- (PCAP A, B, C or D)</t>
  </si>
  <si>
    <t>PCAP-D</t>
  </si>
  <si>
    <t>12/05/2019</t>
  </si>
  <si>
    <t>C. Diaphragm Deformities</t>
  </si>
  <si>
    <t>Q79.0</t>
  </si>
  <si>
    <t>Congenital Diaphragmatic Hernia,left</t>
  </si>
  <si>
    <t>11/05/2019</t>
  </si>
  <si>
    <t>02/08/2007</t>
  </si>
  <si>
    <t>C. Tumors of the Chest &amp; Lungs</t>
  </si>
  <si>
    <t>2. Malignant</t>
  </si>
  <si>
    <t>C38.2</t>
  </si>
  <si>
    <t>Posterior mediastinal mass pro sec to Neuroblastoma</t>
  </si>
  <si>
    <t>28/06/2018</t>
  </si>
  <si>
    <t>A. Foreign Body</t>
  </si>
  <si>
    <t>T17</t>
  </si>
  <si>
    <t>Foreign body aspiration (metal wire)</t>
  </si>
  <si>
    <t>28/03/2004</t>
  </si>
  <si>
    <t>E. Other diseases not specified</t>
  </si>
  <si>
    <t>C85.9</t>
  </si>
  <si>
    <t>Neck mass, prob Lymphoma</t>
  </si>
  <si>
    <t>13/07/2016</t>
  </si>
  <si>
    <t>A. Upper Respiratory Tract</t>
  </si>
  <si>
    <t>A36. 9</t>
  </si>
  <si>
    <t>Upper airway obstruction sec to Diptheria</t>
  </si>
  <si>
    <t>09/06/2015</t>
  </si>
  <si>
    <t>D18.1</t>
  </si>
  <si>
    <t>Tongue mass, probably Lymphagioma</t>
  </si>
  <si>
    <t>15/08/2018</t>
  </si>
  <si>
    <t>P27.9</t>
  </si>
  <si>
    <t>Bronchopulmonary Dysplasia</t>
  </si>
  <si>
    <t>16/11/2018</t>
  </si>
  <si>
    <t>06/11/2018</t>
  </si>
  <si>
    <t>19/03/2019</t>
  </si>
  <si>
    <t>Aspiration Pneumonia</t>
  </si>
  <si>
    <t>12/04/2010</t>
  </si>
  <si>
    <t>B. Acute Respiratory Distress Syndrome (ARDS)</t>
  </si>
  <si>
    <t>J80</t>
  </si>
  <si>
    <t>Acute Respiratory Distress Syndrome</t>
  </si>
  <si>
    <t>19/04/2018</t>
  </si>
  <si>
    <t>PCAP-C</t>
  </si>
  <si>
    <t>26/04/2013</t>
  </si>
  <si>
    <t>16/08/2012</t>
  </si>
  <si>
    <t>T75.1XXA</t>
  </si>
  <si>
    <t>Aspiration pneumonia sec to drowning</t>
  </si>
  <si>
    <t>09/10/2012</t>
  </si>
  <si>
    <t>A. Bronchial Asthma</t>
  </si>
  <si>
    <t>J45</t>
  </si>
  <si>
    <t>Bronchial asthma</t>
  </si>
  <si>
    <t>12/12/2009</t>
  </si>
  <si>
    <t>Bronchial Asthma</t>
  </si>
  <si>
    <t>09/10/2018</t>
  </si>
  <si>
    <t>16/12/2002</t>
  </si>
  <si>
    <t>B. Pneumothorax- including primary spontaneous and those with secondary causes</t>
  </si>
  <si>
    <t>J93</t>
  </si>
  <si>
    <t>Spontaneous pneumothorax</t>
  </si>
  <si>
    <t>16/06/2019</t>
  </si>
  <si>
    <t>19/10/2018</t>
  </si>
  <si>
    <t>07/09/2012</t>
  </si>
  <si>
    <t>A. Pleural effusion</t>
  </si>
  <si>
    <t>2. Non- Infectious</t>
  </si>
  <si>
    <t>J91</t>
  </si>
  <si>
    <t>Malignant pleural effusion,right</t>
  </si>
  <si>
    <t>09/05/2019</t>
  </si>
  <si>
    <t>Pneumothorax right</t>
  </si>
  <si>
    <t>17/10/2019</t>
  </si>
  <si>
    <t>B. Pulmonary Hypertension</t>
  </si>
  <si>
    <t>J27.0</t>
  </si>
  <si>
    <t>Persistent Pulmonary Hypertension</t>
  </si>
  <si>
    <t>07/04/2019</t>
  </si>
  <si>
    <t>20/03/2018</t>
  </si>
  <si>
    <t>C. Acquired diseases e.g. Bronchial stenosis due to prolonged Intubation</t>
  </si>
  <si>
    <t>J47.9</t>
  </si>
  <si>
    <t>Bronchiectasis bilateral, tubular both upper lobes</t>
  </si>
  <si>
    <t>23/05/2003</t>
  </si>
  <si>
    <t>J91.0</t>
  </si>
  <si>
    <t>Malignant pleural effusion</t>
  </si>
  <si>
    <t>29/09/2015</t>
  </si>
  <si>
    <t>5. Recurrent or Persistent Pneumonia</t>
  </si>
  <si>
    <t>Z87.01</t>
  </si>
  <si>
    <t>Recurrent Pneumonia sec to CHD</t>
  </si>
  <si>
    <t>24/08/2007</t>
  </si>
  <si>
    <t>11/11/2019</t>
  </si>
  <si>
    <t>13/08/2012</t>
  </si>
  <si>
    <t>19/11/2018</t>
  </si>
  <si>
    <t>D. Laryngeal, Tracheal and Esophageal Deformities</t>
  </si>
  <si>
    <t>Q32.0</t>
  </si>
  <si>
    <t>Congenital Tracheomalacia</t>
  </si>
  <si>
    <t>31/08/2010</t>
  </si>
  <si>
    <t>Bronchiectasis post infectious, saccular, bilateral upper lobes, tubular left lower lobe</t>
  </si>
  <si>
    <t>D. Interstitial Lung Diseases</t>
  </si>
  <si>
    <t>J84.848</t>
  </si>
  <si>
    <t>Interstitial Lung Disease</t>
  </si>
  <si>
    <t>22/01/2018</t>
  </si>
  <si>
    <t>C32. 1</t>
  </si>
  <si>
    <t>Supraglottic mass t/c Lymphagioma</t>
  </si>
  <si>
    <t>08/03/2020</t>
  </si>
  <si>
    <t>J39.8</t>
  </si>
  <si>
    <t>Tracheal Stenosis,</t>
  </si>
  <si>
    <t>12/11/2020</t>
  </si>
  <si>
    <t>Tracheal stenosis</t>
  </si>
  <si>
    <t>21/09/2016</t>
  </si>
  <si>
    <t>17/06/2018</t>
  </si>
  <si>
    <t>25/07/2009</t>
  </si>
  <si>
    <t>Bronchiectasis, post infectious saccular, bilateral upper and lower lobes</t>
  </si>
  <si>
    <t>13/07/2002</t>
  </si>
  <si>
    <t>06/03/2014</t>
  </si>
  <si>
    <t>Bronchiectasis tubular, post infectious,both lower lobes</t>
  </si>
  <si>
    <t>J67. 9</t>
  </si>
  <si>
    <t>Hypersensitvity Pneumonitis</t>
  </si>
  <si>
    <t>01/10/2017</t>
  </si>
  <si>
    <t>Pyopneumothorax(MSSA)</t>
  </si>
  <si>
    <t>17/05/2009</t>
  </si>
  <si>
    <t>I27.0</t>
  </si>
  <si>
    <t>Pulmonary Hypertension</t>
  </si>
  <si>
    <t>PCMC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</si>
</sst>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topLeftCell="A11" zoomScale="115" zoomScaleNormal="115" workbookViewId="0">
      <selection activeCell="D5" sqref="D5:E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35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36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26</v>
      </c>
      <c r="C5" s="43" t="s">
        <v>27</v>
      </c>
      <c r="D5" s="51">
        <v>2019</v>
      </c>
      <c r="E5" s="51"/>
      <c r="F5" s="43" t="s">
        <v>28</v>
      </c>
      <c r="G5" s="51" t="s">
        <v>173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29</v>
      </c>
      <c r="C7" s="53"/>
      <c r="D7" s="52" t="s">
        <v>30</v>
      </c>
      <c r="E7" s="53"/>
      <c r="F7" s="54" t="s">
        <v>31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54</v>
      </c>
      <c r="C8" s="50"/>
      <c r="D8" s="55">
        <f>COUNTIFS('Data Sheet'!$D:$D,"New")</f>
        <v>34</v>
      </c>
      <c r="E8" s="56"/>
      <c r="F8" s="59">
        <f>COUNTIF('Data Sheet'!$D:$D,"Old")</f>
        <v>20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32</v>
      </c>
      <c r="C11" s="54"/>
      <c r="D11" s="54"/>
      <c r="E11" s="54" t="s">
        <v>33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37</v>
      </c>
      <c r="C12" s="50"/>
      <c r="D12" s="50"/>
      <c r="E12" s="50">
        <f>COUNTIF('Data Sheet'!$E:$E,"Female")</f>
        <v>17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34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5</v>
      </c>
      <c r="C16" s="47" t="str">
        <f>_xlfn.CONCAT("New Cases: 
",COUNTIFS('Data Sheet'!$H:$H,"I. Congenital Malformations of the Respiratory Tract",'Data Sheet'!$D:$D,"New"))</f>
        <v>New Cases: 
4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9</v>
      </c>
      <c r="F16" s="47" t="str">
        <f>_xlfn.CONCAT("New Cases: 
",COUNTIFS('Data Sheet'!$H:$H,"VI. Non-infectious Disorders of the Respiratory Tract",'Data Sheet'!$D:$D,"New"))</f>
        <v>New Cases: 
8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1</v>
      </c>
      <c r="D17" s="47"/>
      <c r="E17" s="48"/>
      <c r="F17" s="47" t="str">
        <f>_xlfn.CONCAT("Old Cases: 
",COUNTIFS('Data Sheet'!$H:$H,"VI. Non-infectious Disorders of the Respiratory Tract",'Data Sheet'!$D:$D,"Old"))</f>
        <v>Old Cases: 
1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1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3</v>
      </c>
      <c r="F18" s="47" t="str">
        <f>_xlfn.CONCAT("New Cases: 
",COUNTIFS('Data Sheet'!$H:$H,"VII. Other Diseases with Prominent Respiratory Component",'Data Sheet'!$D:$D,"New"))</f>
        <v>New Cases: 
3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1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3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14</v>
      </c>
      <c r="C22" s="47" t="str">
        <f>_xlfn.CONCAT("New Cases: 
",COUNTIFS('Data Sheet'!$H:$H,"IV. Infections of the Respiratory Tract",'Data Sheet'!$D:$D,"New"))</f>
        <v>New Cases: 
8</v>
      </c>
      <c r="D22" s="47"/>
      <c r="E22" s="48" t="str">
        <f>_xlfn.CONCAT("IX. Airways Disease: 
",COUNTIF('Data Sheet'!$H:$H,"IX. Airways Disease"))</f>
        <v>IX. Airways Disease: 
6</v>
      </c>
      <c r="F22" s="47" t="str">
        <f>_xlfn.CONCAT("New Cases: 
",COUNTIFS('Data Sheet'!$H:$H,"IX. Airways Disease",'Data Sheet'!$D:$D,"New"))</f>
        <v>New Cases: 
3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6</v>
      </c>
      <c r="D23" s="47"/>
      <c r="E23" s="48"/>
      <c r="F23" s="47" t="str">
        <f>_xlfn.CONCAT("Old Cases: 
",COUNTIFS('Data Sheet'!$H:$H,"IX. Airways Disease",'Data Sheet'!$D:$D,"Old"))</f>
        <v>Old Cases: 
3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5</v>
      </c>
      <c r="C24" s="47" t="str">
        <f>_xlfn.CONCAT("New Cases: 
",COUNTIFS('Data Sheet'!$H:$H,"V. Pleural Diseases",'Data Sheet'!$D:$D,"New"))</f>
        <v>New Cases: 
4</v>
      </c>
      <c r="D24" s="47"/>
      <c r="E24" s="48" t="str">
        <f>_xlfn.CONCAT("X. Others Diseases: 
",COUNTIF('Data Sheet'!$H:$H,"X. Others Diseases"))</f>
        <v>X. Others Diseases: 
8</v>
      </c>
      <c r="F24" s="47" t="str">
        <f>_xlfn.CONCAT("New Cases: 
",COUNTIFS('Data Sheet'!$H:$H,"X. Others Diseases",'Data Sheet'!$D:$D,"New"))</f>
        <v>New Cases: 
4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1</v>
      </c>
      <c r="D25" s="47"/>
      <c r="E25" s="48"/>
      <c r="F25" s="47" t="str">
        <f>_xlfn.CONCAT("Old Cases: 
",COUNTIFS('Data Sheet'!$H:$H,"X. Others Diseases",'Data Sheet'!$D:$D,"Old"))</f>
        <v>Old Cases: 
4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6">_xlfn._xlws.FILTER('Data Sheet'!A:A,'Data Sheet'!H:H=A2,"NA")</f>
        <v>8180</v>
      </c>
      <c r="B4" s="21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17/10/2019</v>
      </c>
      <c r="G4" s="24">
        <f>_xlfn.IFNA(VLOOKUP($A4,'Data Sheet'!$A:G,7,FALSE),"NA")</f>
        <v>1</v>
      </c>
      <c r="H4" s="25" t="str">
        <f>_xlfn.IFNA(VLOOKUP($A4,'Data Sheet'!$A:P,16,FALSE),"NA")</f>
        <v>B. Pulmonary Hypertension</v>
      </c>
      <c r="I4" s="24" t="str">
        <f>_xlfn.IFNA(VLOOKUP($A4,'Data Sheet'!$A:S,19,FALSE),"NA")</f>
        <v>J27.0</v>
      </c>
      <c r="J4" s="25" t="str">
        <f>_xlfn.IFNA(VLOOKUP($A4,'Data Sheet'!$A:T,20,FALSE),"NA")</f>
        <v>Persistent Pulmonary Hypertension</v>
      </c>
    </row>
    <row r="5" spans="1:19" ht="13" x14ac:dyDescent="0.15">
      <c r="A5" s="20">
        <v>8142</v>
      </c>
      <c r="B5" s="21" t="str">
        <f>_xlfn.IFNA(VLOOKUP($A5,'Data Sheet'!$A:B,2,FALSE),"NA")</f>
        <v>21/09/2021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31/08/2010</v>
      </c>
      <c r="G5" s="26">
        <f>_xlfn.IFNA(VLOOKUP($A5,'Data Sheet'!$A:G,7,FALSE),"NA")</f>
        <v>11</v>
      </c>
      <c r="H5" s="29" t="str">
        <f>_xlfn.IFNA(VLOOKUP($A5,'Data Sheet'!$A:P,16,FALSE),"NA")</f>
        <v>D. Interstitial Lung Diseases</v>
      </c>
      <c r="I5" s="26" t="str">
        <f>_xlfn.IFNA(VLOOKUP($A5,'Data Sheet'!$A:S,19,FALSE),"NA")</f>
        <v>J84.848</v>
      </c>
      <c r="J5" s="29" t="str">
        <f>_xlfn.IFNA(VLOOKUP($A5,'Data Sheet'!$A:T,20,FALSE),"NA")</f>
        <v>Interstitial Lung Disease</v>
      </c>
    </row>
    <row r="6" spans="1:19" ht="13" x14ac:dyDescent="0.15">
      <c r="A6" s="20">
        <v>8116</v>
      </c>
      <c r="B6" s="21" t="str">
        <f>_xlfn.IFNA(VLOOKUP($A6,'Data Sheet'!$A:B,2,FALSE),"NA")</f>
        <v>21/09/2021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17/05/2009</v>
      </c>
      <c r="G6" s="26">
        <f>_xlfn.IFNA(VLOOKUP($A6,'Data Sheet'!$A:G,7,FALSE),"NA")</f>
        <v>12</v>
      </c>
      <c r="H6" s="29" t="str">
        <f>_xlfn.IFNA(VLOOKUP($A6,'Data Sheet'!$A:P,16,FALSE),"NA")</f>
        <v>B. Pulmonary Hypertension</v>
      </c>
      <c r="I6" s="26" t="str">
        <f>_xlfn.IFNA(VLOOKUP($A6,'Data Sheet'!$A:S,19,FALSE),"NA")</f>
        <v>I27.0</v>
      </c>
      <c r="J6" s="29" t="str">
        <f>_xlfn.IFNA(VLOOKUP($A6,'Data Sheet'!$A:T,20,FALSE),"NA")</f>
        <v>Pulmonary Hypertension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9">_xlfn._xlws.FILTER('Data Sheet'!A:A,'Data Sheet'!H:H=A2,"NA")</f>
        <v>8209</v>
      </c>
      <c r="B4" s="21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28/06/2018</v>
      </c>
      <c r="G4" s="24">
        <f>_xlfn.IFNA(VLOOKUP($A4,'Data Sheet'!$A:G,7,FALSE),"NA")</f>
        <v>3</v>
      </c>
      <c r="H4" s="29" t="str">
        <f>_xlfn.IFNA(VLOOKUP($A4,'Data Sheet'!$A:Q,17,FALSE),"NA")</f>
        <v>A. Foreign Body</v>
      </c>
      <c r="I4" s="24" t="str">
        <f>_xlfn.IFNA(VLOOKUP($A4,'Data Sheet'!$A:S,19,FALSE),"NA")</f>
        <v>T17</v>
      </c>
      <c r="J4" s="25" t="str">
        <f>_xlfn.IFNA(VLOOKUP($A4,'Data Sheet'!$A:T,20,FALSE),"NA")</f>
        <v>Foreign body aspiration (metal wire)</v>
      </c>
    </row>
    <row r="5" spans="1:19" ht="13" x14ac:dyDescent="0.15">
      <c r="A5" s="20">
        <v>8192</v>
      </c>
      <c r="B5" s="21" t="str">
        <f>_xlfn.IFNA(VLOOKUP($A5,'Data Sheet'!$A:B,2,FALSE),"NA")</f>
        <v>21/09/2021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16/06/2019</v>
      </c>
      <c r="G5" s="26">
        <f>_xlfn.IFNA(VLOOKUP($A5,'Data Sheet'!$A:G,7,FALSE),"NA")</f>
        <v>2</v>
      </c>
      <c r="H5" s="29" t="str">
        <f>_xlfn.IFNA(VLOOKUP($A5,'Data Sheet'!$A:Q,17,FALSE),"NA")</f>
        <v>A. Foreign Body</v>
      </c>
      <c r="I5" s="26" t="str">
        <f>_xlfn.IFNA(VLOOKUP($A5,'Data Sheet'!$A:S,19,FALSE),"NA")</f>
        <v>J45</v>
      </c>
      <c r="J5" s="29" t="str">
        <f>_xlfn.IFNA(VLOOKUP($A5,'Data Sheet'!$A:T,20,FALSE),"NA")</f>
        <v>Bronchial Asthma</v>
      </c>
    </row>
    <row r="6" spans="1:19" ht="13" x14ac:dyDescent="0.15">
      <c r="A6" s="20">
        <v>8157</v>
      </c>
      <c r="B6" s="21" t="str">
        <f>_xlfn.IFNA(VLOOKUP($A6,'Data Sheet'!$A:B,2,FALSE),"NA")</f>
        <v>21/09/2021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20/03/2018</v>
      </c>
      <c r="G6" s="26">
        <f>_xlfn.IFNA(VLOOKUP($A6,'Data Sheet'!$A:G,7,FALSE),"NA")</f>
        <v>3</v>
      </c>
      <c r="H6" s="29" t="str">
        <f>_xlfn.IFNA(VLOOKUP($A6,'Data Sheet'!$A:Q,17,FALSE),"NA")</f>
        <v>C. Acquired diseases e.g. Bronchial stenosis due to prolonged Intubation</v>
      </c>
      <c r="I6" s="26" t="str">
        <f>_xlfn.IFNA(VLOOKUP($A6,'Data Sheet'!$A:S,19,FALSE),"NA")</f>
        <v>J47.9</v>
      </c>
      <c r="J6" s="29" t="str">
        <f>_xlfn.IFNA(VLOOKUP($A6,'Data Sheet'!$A:T,20,FALSE),"NA")</f>
        <v>Bronchiectasis bilateral, tubular both upper lobes</v>
      </c>
    </row>
    <row r="7" spans="1:19" ht="13" x14ac:dyDescent="0.15">
      <c r="A7" s="20">
        <v>8144</v>
      </c>
      <c r="B7" s="21" t="str">
        <f>_xlfn.IFNA(VLOOKUP($A7,'Data Sheet'!$A:B,2,FALSE),"NA")</f>
        <v>21/09/2021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Female</v>
      </c>
      <c r="F7" s="23" t="str">
        <f>_xlfn.IFNA(VLOOKUP($A7,'Data Sheet'!$A:F,6,FALSE),"NA")</f>
        <v>31/08/2010</v>
      </c>
      <c r="G7" s="26">
        <f>_xlfn.IFNA(VLOOKUP($A7,'Data Sheet'!$A:G,7,FALSE),"NA")</f>
        <v>11</v>
      </c>
      <c r="H7" s="29" t="str">
        <f>_xlfn.IFNA(VLOOKUP($A7,'Data Sheet'!$A:Q,17,FALSE),"NA")</f>
        <v>C. Acquired diseases e.g. Bronchial stenosis due to prolonged Intubation</v>
      </c>
      <c r="I7" s="26" t="str">
        <f>_xlfn.IFNA(VLOOKUP($A7,'Data Sheet'!$A:S,19,FALSE),"NA")</f>
        <v>J47.9</v>
      </c>
      <c r="J7" s="29" t="str">
        <f>_xlfn.IFNA(VLOOKUP($A7,'Data Sheet'!$A:T,20,FALSE),"NA")</f>
        <v>Bronchiectasis post infectious, saccular, bilateral upper lobes, tubular left lower lobe</v>
      </c>
    </row>
    <row r="8" spans="1:19" ht="13" x14ac:dyDescent="0.15">
      <c r="A8" s="20">
        <v>8133</v>
      </c>
      <c r="B8" s="21" t="str">
        <f>_xlfn.IFNA(VLOOKUP($A8,'Data Sheet'!$A:B,2,FALSE),"NA")</f>
        <v>21/09/2021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Male</v>
      </c>
      <c r="F8" s="23" t="str">
        <f>_xlfn.IFNA(VLOOKUP($A8,'Data Sheet'!$A:F,6,FALSE),"NA")</f>
        <v>25/07/2009</v>
      </c>
      <c r="G8" s="26">
        <f>_xlfn.IFNA(VLOOKUP($A8,'Data Sheet'!$A:G,7,FALSE),"NA")</f>
        <v>12</v>
      </c>
      <c r="H8" s="29" t="str">
        <f>_xlfn.IFNA(VLOOKUP($A8,'Data Sheet'!$A:Q,17,FALSE),"NA")</f>
        <v>C. Acquired diseases e.g. Bronchial stenosis due to prolonged Intubation</v>
      </c>
      <c r="I8" s="26" t="str">
        <f>_xlfn.IFNA(VLOOKUP($A8,'Data Sheet'!$A:S,19,FALSE),"NA")</f>
        <v>J47.9</v>
      </c>
      <c r="J8" s="29" t="str">
        <f>_xlfn.IFNA(VLOOKUP($A8,'Data Sheet'!$A:T,20,FALSE),"NA")</f>
        <v>Bronchiectasis, post infectious saccular, bilateral upper and lower lobes</v>
      </c>
    </row>
    <row r="9" spans="1:19" ht="13" x14ac:dyDescent="0.15">
      <c r="A9" s="20">
        <v>8130</v>
      </c>
      <c r="B9" s="21" t="str">
        <f>_xlfn.IFNA(VLOOKUP($A9,'Data Sheet'!$A:B,2,FALSE),"NA")</f>
        <v>21/09/2021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Female</v>
      </c>
      <c r="F9" s="23" t="str">
        <f>_xlfn.IFNA(VLOOKUP($A9,'Data Sheet'!$A:F,6,FALSE),"NA")</f>
        <v>06/03/2014</v>
      </c>
      <c r="G9" s="26">
        <f>_xlfn.IFNA(VLOOKUP($A9,'Data Sheet'!$A:G,7,FALSE),"NA")</f>
        <v>7</v>
      </c>
      <c r="H9" s="29" t="str">
        <f>_xlfn.IFNA(VLOOKUP($A9,'Data Sheet'!$A:Q,17,FALSE),"NA")</f>
        <v>C. Acquired diseases e.g. Bronchial stenosis due to prolonged Intubation</v>
      </c>
      <c r="I9" s="26" t="str">
        <f>_xlfn.IFNA(VLOOKUP($A9,'Data Sheet'!$A:S,19,FALSE),"NA")</f>
        <v>J47.9</v>
      </c>
      <c r="J9" s="29" t="str">
        <f>_xlfn.IFNA(VLOOKUP($A9,'Data Sheet'!$A:T,20,FALSE),"NA")</f>
        <v>Bronchiectasis tubular, post infectious,both lower lobes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1">_xlfn._xlws.FILTER('Data Sheet'!A:A,'Data Sheet'!H:H=A2,"NA")</f>
        <v>8218</v>
      </c>
      <c r="B4" s="21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20/06/2004</v>
      </c>
      <c r="G4" s="24">
        <f>_xlfn.IFNA(VLOOKUP($A4,'Data Sheet'!$A:G,7,FALSE),"NA")</f>
        <v>17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CKD sec to Chronic Glomerulonephritis</v>
      </c>
    </row>
    <row r="5" spans="1:19" ht="13" x14ac:dyDescent="0.15">
      <c r="A5" s="20">
        <v>8217</v>
      </c>
      <c r="B5" s="21" t="str">
        <f>_xlfn.IFNA(VLOOKUP($A5,'Data Sheet'!$A:B,2,FALSE),"NA")</f>
        <v>21/09/2021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18/03/2019</v>
      </c>
      <c r="G5" s="26">
        <f>_xlfn.IFNA(VLOOKUP($A5,'Data Sheet'!$A:G,7,FALSE),"NA")</f>
        <v>2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D18. 03</v>
      </c>
      <c r="J5" s="29" t="str">
        <f>_xlfn.IFNA(VLOOKUP($A5,'Data Sheet'!$A:T,20,FALSE),"NA")</f>
        <v>Hepatic Hemagioma</v>
      </c>
    </row>
    <row r="6" spans="1:19" ht="13" x14ac:dyDescent="0.15">
      <c r="A6" s="20">
        <v>8216</v>
      </c>
      <c r="B6" s="21" t="str">
        <f>_xlfn.IFNA(VLOOKUP($A6,'Data Sheet'!$A:B,2,FALSE),"NA")</f>
        <v>21/09/2021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Female</v>
      </c>
      <c r="F6" s="23" t="str">
        <f>_xlfn.IFNA(VLOOKUP($A6,'Data Sheet'!$A:F,6,FALSE),"NA")</f>
        <v>03/01/2019</v>
      </c>
      <c r="G6" s="26">
        <f>_xlfn.IFNA(VLOOKUP($A6,'Data Sheet'!$A:G,7,FALSE),"NA")</f>
        <v>2</v>
      </c>
      <c r="H6" s="29" t="str">
        <f>_xlfn.IFNA(VLOOKUP($A6,'Data Sheet'!$A:R,18,FALSE),"NA")</f>
        <v>B. Neuromuscular Diseases</v>
      </c>
      <c r="I6" s="26" t="str">
        <f>_xlfn.IFNA(VLOOKUP($A6,'Data Sheet'!$A:S,19,FALSE),"NA")</f>
        <v>G12.9</v>
      </c>
      <c r="J6" s="29" t="str">
        <f>_xlfn.IFNA(VLOOKUP($A6,'Data Sheet'!$A:T,20,FALSE),"NA")</f>
        <v>Spinal Muscular Atrophy</v>
      </c>
    </row>
    <row r="7" spans="1:19" ht="13" x14ac:dyDescent="0.15">
      <c r="A7" s="20">
        <v>8208</v>
      </c>
      <c r="B7" s="21" t="str">
        <f>_xlfn.IFNA(VLOOKUP($A7,'Data Sheet'!$A:B,2,FALSE),"NA")</f>
        <v>21/09/2021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28/03/2004</v>
      </c>
      <c r="G7" s="26">
        <f>_xlfn.IFNA(VLOOKUP($A7,'Data Sheet'!$A:G,7,FALSE),"NA")</f>
        <v>17</v>
      </c>
      <c r="H7" s="29" t="str">
        <f>_xlfn.IFNA(VLOOKUP($A7,'Data Sheet'!$A:R,18,FALSE),"NA")</f>
        <v>E. Other diseases not specified</v>
      </c>
      <c r="I7" s="26" t="str">
        <f>_xlfn.IFNA(VLOOKUP($A7,'Data Sheet'!$A:S,19,FALSE),"NA")</f>
        <v>C85.9</v>
      </c>
      <c r="J7" s="29" t="str">
        <f>_xlfn.IFNA(VLOOKUP($A7,'Data Sheet'!$A:T,20,FALSE),"NA")</f>
        <v>Neck mass, prob Lymphoma</v>
      </c>
    </row>
    <row r="8" spans="1:19" ht="13" x14ac:dyDescent="0.15">
      <c r="A8" s="20">
        <v>8206</v>
      </c>
      <c r="B8" s="21" t="str">
        <f>_xlfn.IFNA(VLOOKUP($A8,'Data Sheet'!$A:B,2,FALSE),"NA")</f>
        <v>21/09/2021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Male</v>
      </c>
      <c r="F8" s="23" t="str">
        <f>_xlfn.IFNA(VLOOKUP($A8,'Data Sheet'!$A:F,6,FALSE),"NA")</f>
        <v>09/06/2015</v>
      </c>
      <c r="G8" s="26">
        <f>_xlfn.IFNA(VLOOKUP($A8,'Data Sheet'!$A:G,7,FALSE),"NA")</f>
        <v>6</v>
      </c>
      <c r="H8" s="29" t="str">
        <f>_xlfn.IFNA(VLOOKUP($A8,'Data Sheet'!$A:R,18,FALSE),"NA")</f>
        <v>E. Other diseases not specified</v>
      </c>
      <c r="I8" s="26" t="str">
        <f>_xlfn.IFNA(VLOOKUP($A8,'Data Sheet'!$A:S,19,FALSE),"NA")</f>
        <v>D18.1</v>
      </c>
      <c r="J8" s="29" t="str">
        <f>_xlfn.IFNA(VLOOKUP($A8,'Data Sheet'!$A:T,20,FALSE),"NA")</f>
        <v>Tongue mass, probably Lymphagioma</v>
      </c>
    </row>
    <row r="9" spans="1:19" ht="13" x14ac:dyDescent="0.15">
      <c r="A9" s="20">
        <v>8197</v>
      </c>
      <c r="B9" s="21" t="str">
        <f>_xlfn.IFNA(VLOOKUP($A9,'Data Sheet'!$A:B,2,FALSE),"NA")</f>
        <v>21/09/2021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16/08/2012</v>
      </c>
      <c r="G9" s="26">
        <f>_xlfn.IFNA(VLOOKUP($A9,'Data Sheet'!$A:G,7,FALSE),"NA")</f>
        <v>9</v>
      </c>
      <c r="H9" s="29" t="str">
        <f>_xlfn.IFNA(VLOOKUP($A9,'Data Sheet'!$A:R,18,FALSE),"NA")</f>
        <v>E. Other diseases not specified</v>
      </c>
      <c r="I9" s="26" t="str">
        <f>_xlfn.IFNA(VLOOKUP($A9,'Data Sheet'!$A:S,19,FALSE),"NA")</f>
        <v>T75.1XXA</v>
      </c>
      <c r="J9" s="29" t="str">
        <f>_xlfn.IFNA(VLOOKUP($A9,'Data Sheet'!$A:T,20,FALSE),"NA")</f>
        <v>Aspiration pneumonia sec to drowning</v>
      </c>
    </row>
    <row r="10" spans="1:19" ht="13" x14ac:dyDescent="0.15">
      <c r="A10" s="20">
        <v>8139</v>
      </c>
      <c r="B10" s="21" t="str">
        <f>_xlfn.IFNA(VLOOKUP($A10,'Data Sheet'!$A:B,2,FALSE),"NA")</f>
        <v>21/09/2021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New</v>
      </c>
      <c r="E10" s="22" t="str">
        <f>_xlfn.IFNA(VLOOKUP($A10,'Data Sheet'!$A:E,5,FALSE),"NA")</f>
        <v>Male</v>
      </c>
      <c r="F10" s="23" t="str">
        <f>_xlfn.IFNA(VLOOKUP($A10,'Data Sheet'!$A:F,6,FALSE),"NA")</f>
        <v>22/01/2018</v>
      </c>
      <c r="G10" s="26">
        <f>_xlfn.IFNA(VLOOKUP($A10,'Data Sheet'!$A:G,7,FALSE),"NA")</f>
        <v>3</v>
      </c>
      <c r="H10" s="29" t="str">
        <f>_xlfn.IFNA(VLOOKUP($A10,'Data Sheet'!$A:R,18,FALSE),"NA")</f>
        <v>E. Other diseases not specified</v>
      </c>
      <c r="I10" s="26" t="str">
        <f>_xlfn.IFNA(VLOOKUP($A10,'Data Sheet'!$A:S,19,FALSE),"NA")</f>
        <v>C32. 1</v>
      </c>
      <c r="J10" s="29" t="str">
        <f>_xlfn.IFNA(VLOOKUP($A10,'Data Sheet'!$A:T,20,FALSE),"NA")</f>
        <v>Supraglottic mass t/c Lymphagioma</v>
      </c>
    </row>
    <row r="11" spans="1:19" ht="13" x14ac:dyDescent="0.15">
      <c r="A11" s="20">
        <v>8129</v>
      </c>
      <c r="B11" s="21" t="str">
        <f>_xlfn.IFNA(VLOOKUP($A11,'Data Sheet'!$A:B,2,FALSE),"NA")</f>
        <v>21/09/2021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Female</v>
      </c>
      <c r="F11" s="23" t="str">
        <f>_xlfn.IFNA(VLOOKUP($A11,'Data Sheet'!$A:F,6,FALSE),"NA")</f>
        <v>06/03/2014</v>
      </c>
      <c r="G11" s="26">
        <f>_xlfn.IFNA(VLOOKUP($A11,'Data Sheet'!$A:G,7,FALSE),"NA")</f>
        <v>7</v>
      </c>
      <c r="H11" s="29" t="str">
        <f>_xlfn.IFNA(VLOOKUP($A11,'Data Sheet'!$A:R,18,FALSE),"NA")</f>
        <v>E. Other diseases not specified</v>
      </c>
      <c r="I11" s="26" t="str">
        <f>_xlfn.IFNA(VLOOKUP($A11,'Data Sheet'!$A:S,19,FALSE),"NA")</f>
        <v>J67. 9</v>
      </c>
      <c r="J11" s="29" t="str">
        <f>_xlfn.IFNA(VLOOKUP($A11,'Data Sheet'!$A:T,20,FALSE),"NA")</f>
        <v>Hypersensitvity Pneumonitis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XFD55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8218</v>
      </c>
      <c r="B2" s="65" t="s">
        <v>37</v>
      </c>
      <c r="C2" s="65" t="s">
        <v>38</v>
      </c>
      <c r="D2" s="65" t="s">
        <v>39</v>
      </c>
      <c r="E2" s="65" t="s">
        <v>40</v>
      </c>
      <c r="F2" s="65" t="s">
        <v>41</v>
      </c>
      <c r="G2" s="64">
        <v>17</v>
      </c>
      <c r="H2" s="65" t="s">
        <v>17</v>
      </c>
      <c r="R2" s="65" t="s">
        <v>42</v>
      </c>
      <c r="S2" s="65" t="s">
        <v>43</v>
      </c>
      <c r="T2" s="65" t="s">
        <v>44</v>
      </c>
    </row>
    <row r="3" spans="1:20" s="65" customFormat="1" ht="13" x14ac:dyDescent="0.15">
      <c r="A3" s="64">
        <v>8217</v>
      </c>
      <c r="B3" s="65" t="s">
        <v>37</v>
      </c>
      <c r="C3" s="65" t="s">
        <v>38</v>
      </c>
      <c r="D3" s="65" t="s">
        <v>45</v>
      </c>
      <c r="E3" s="65" t="s">
        <v>46</v>
      </c>
      <c r="F3" s="65" t="s">
        <v>47</v>
      </c>
      <c r="G3" s="64">
        <v>2</v>
      </c>
      <c r="H3" s="65" t="s">
        <v>17</v>
      </c>
      <c r="R3" s="65" t="s">
        <v>42</v>
      </c>
      <c r="S3" s="65" t="s">
        <v>48</v>
      </c>
      <c r="T3" s="65" t="s">
        <v>49</v>
      </c>
    </row>
    <row r="4" spans="1:20" s="65" customFormat="1" ht="13" x14ac:dyDescent="0.15">
      <c r="A4" s="64">
        <v>8216</v>
      </c>
      <c r="B4" s="65" t="s">
        <v>37</v>
      </c>
      <c r="C4" s="65" t="s">
        <v>38</v>
      </c>
      <c r="D4" s="65" t="s">
        <v>39</v>
      </c>
      <c r="E4" s="65" t="s">
        <v>46</v>
      </c>
      <c r="F4" s="65" t="s">
        <v>50</v>
      </c>
      <c r="G4" s="64">
        <v>2</v>
      </c>
      <c r="H4" s="65" t="s">
        <v>17</v>
      </c>
      <c r="R4" s="65" t="s">
        <v>51</v>
      </c>
      <c r="S4" s="65" t="s">
        <v>52</v>
      </c>
      <c r="T4" s="65" t="s">
        <v>53</v>
      </c>
    </row>
    <row r="5" spans="1:20" s="65" customFormat="1" ht="13" x14ac:dyDescent="0.15">
      <c r="A5" s="64">
        <v>8215</v>
      </c>
      <c r="B5" s="65" t="s">
        <v>37</v>
      </c>
      <c r="C5" s="65" t="s">
        <v>38</v>
      </c>
      <c r="D5" s="65" t="s">
        <v>39</v>
      </c>
      <c r="E5" s="65" t="s">
        <v>40</v>
      </c>
      <c r="F5" s="65" t="s">
        <v>50</v>
      </c>
      <c r="G5" s="64">
        <v>2</v>
      </c>
      <c r="H5" s="65" t="s">
        <v>9</v>
      </c>
      <c r="J5" s="65" t="s">
        <v>54</v>
      </c>
      <c r="K5" s="65" t="s">
        <v>55</v>
      </c>
      <c r="S5" s="65" t="s">
        <v>56</v>
      </c>
      <c r="T5" s="65" t="s">
        <v>57</v>
      </c>
    </row>
    <row r="6" spans="1:20" s="65" customFormat="1" ht="13" x14ac:dyDescent="0.15">
      <c r="A6" s="64">
        <v>8214</v>
      </c>
      <c r="B6" s="65" t="s">
        <v>37</v>
      </c>
      <c r="C6" s="65" t="s">
        <v>38</v>
      </c>
      <c r="D6" s="65" t="s">
        <v>45</v>
      </c>
      <c r="E6" s="65" t="s">
        <v>46</v>
      </c>
      <c r="F6" s="65" t="s">
        <v>58</v>
      </c>
      <c r="G6" s="64">
        <v>4</v>
      </c>
      <c r="H6" s="65" t="s">
        <v>9</v>
      </c>
      <c r="J6" s="65" t="s">
        <v>54</v>
      </c>
      <c r="K6" s="65" t="s">
        <v>59</v>
      </c>
      <c r="S6" s="65" t="s">
        <v>56</v>
      </c>
      <c r="T6" s="65" t="s">
        <v>60</v>
      </c>
    </row>
    <row r="7" spans="1:20" s="65" customFormat="1" ht="13" x14ac:dyDescent="0.15">
      <c r="A7" s="64">
        <v>8213</v>
      </c>
      <c r="B7" s="65" t="s">
        <v>37</v>
      </c>
      <c r="C7" s="65" t="s">
        <v>38</v>
      </c>
      <c r="D7" s="65" t="s">
        <v>45</v>
      </c>
      <c r="E7" s="65" t="s">
        <v>40</v>
      </c>
      <c r="F7" s="65" t="s">
        <v>61</v>
      </c>
      <c r="G7" s="64">
        <v>2</v>
      </c>
      <c r="H7" s="65" t="s">
        <v>8</v>
      </c>
      <c r="I7" s="65" t="s">
        <v>62</v>
      </c>
      <c r="S7" s="65" t="s">
        <v>63</v>
      </c>
      <c r="T7" s="65" t="s">
        <v>64</v>
      </c>
    </row>
    <row r="8" spans="1:20" s="65" customFormat="1" ht="13" x14ac:dyDescent="0.15">
      <c r="A8" s="64">
        <v>8212</v>
      </c>
      <c r="B8" s="65" t="s">
        <v>37</v>
      </c>
      <c r="C8" s="65" t="s">
        <v>38</v>
      </c>
      <c r="D8" s="65" t="s">
        <v>45</v>
      </c>
      <c r="E8" s="65" t="s">
        <v>40</v>
      </c>
      <c r="F8" s="65" t="s">
        <v>61</v>
      </c>
      <c r="G8" s="64">
        <v>2</v>
      </c>
      <c r="H8" s="65" t="s">
        <v>8</v>
      </c>
      <c r="I8" s="65" t="s">
        <v>62</v>
      </c>
      <c r="S8" s="65" t="s">
        <v>63</v>
      </c>
      <c r="T8" s="65" t="s">
        <v>64</v>
      </c>
    </row>
    <row r="9" spans="1:20" s="65" customFormat="1" ht="13" x14ac:dyDescent="0.15">
      <c r="A9" s="64">
        <v>8211</v>
      </c>
      <c r="B9" s="65" t="s">
        <v>37</v>
      </c>
      <c r="C9" s="65" t="s">
        <v>38</v>
      </c>
      <c r="D9" s="65" t="s">
        <v>45</v>
      </c>
      <c r="E9" s="65" t="s">
        <v>40</v>
      </c>
      <c r="F9" s="65" t="s">
        <v>65</v>
      </c>
      <c r="G9" s="64">
        <v>2</v>
      </c>
      <c r="H9" s="65" t="s">
        <v>9</v>
      </c>
      <c r="J9" s="65" t="s">
        <v>54</v>
      </c>
      <c r="K9" s="65" t="s">
        <v>55</v>
      </c>
      <c r="S9" s="65" t="s">
        <v>56</v>
      </c>
      <c r="T9" s="65" t="s">
        <v>57</v>
      </c>
    </row>
    <row r="10" spans="1:20" s="65" customFormat="1" ht="13" x14ac:dyDescent="0.15">
      <c r="A10" s="64">
        <v>8210</v>
      </c>
      <c r="B10" s="65" t="s">
        <v>37</v>
      </c>
      <c r="C10" s="65" t="s">
        <v>38</v>
      </c>
      <c r="D10" s="65" t="s">
        <v>45</v>
      </c>
      <c r="E10" s="65" t="s">
        <v>40</v>
      </c>
      <c r="F10" s="65" t="s">
        <v>66</v>
      </c>
      <c r="G10" s="64">
        <v>14</v>
      </c>
      <c r="H10" s="65" t="s">
        <v>13</v>
      </c>
      <c r="N10" s="65" t="s">
        <v>67</v>
      </c>
      <c r="O10" s="65" t="s">
        <v>68</v>
      </c>
      <c r="S10" s="65" t="s">
        <v>69</v>
      </c>
      <c r="T10" s="65" t="s">
        <v>70</v>
      </c>
    </row>
    <row r="11" spans="1:20" s="65" customFormat="1" ht="13" x14ac:dyDescent="0.15">
      <c r="A11" s="64">
        <v>8209</v>
      </c>
      <c r="B11" s="65" t="s">
        <v>37</v>
      </c>
      <c r="C11" s="65" t="s">
        <v>38</v>
      </c>
      <c r="D11" s="65" t="s">
        <v>45</v>
      </c>
      <c r="E11" s="65" t="s">
        <v>40</v>
      </c>
      <c r="F11" s="65" t="s">
        <v>71</v>
      </c>
      <c r="G11" s="64">
        <v>3</v>
      </c>
      <c r="H11" s="65" t="s">
        <v>16</v>
      </c>
      <c r="Q11" s="65" t="s">
        <v>72</v>
      </c>
      <c r="S11" s="65" t="s">
        <v>73</v>
      </c>
      <c r="T11" s="65" t="s">
        <v>74</v>
      </c>
    </row>
    <row r="12" spans="1:20" s="65" customFormat="1" ht="13" x14ac:dyDescent="0.15">
      <c r="A12" s="64">
        <v>8208</v>
      </c>
      <c r="B12" s="65" t="s">
        <v>37</v>
      </c>
      <c r="C12" s="65" t="s">
        <v>38</v>
      </c>
      <c r="D12" s="65" t="s">
        <v>45</v>
      </c>
      <c r="E12" s="65" t="s">
        <v>40</v>
      </c>
      <c r="F12" s="65" t="s">
        <v>75</v>
      </c>
      <c r="G12" s="64">
        <v>17</v>
      </c>
      <c r="H12" s="65" t="s">
        <v>17</v>
      </c>
      <c r="R12" s="65" t="s">
        <v>76</v>
      </c>
      <c r="S12" s="65" t="s">
        <v>77</v>
      </c>
      <c r="T12" s="65" t="s">
        <v>78</v>
      </c>
    </row>
    <row r="13" spans="1:20" s="65" customFormat="1" ht="13" x14ac:dyDescent="0.15">
      <c r="A13" s="64">
        <v>8207</v>
      </c>
      <c r="B13" s="65" t="s">
        <v>37</v>
      </c>
      <c r="C13" s="65" t="s">
        <v>38</v>
      </c>
      <c r="D13" s="65" t="s">
        <v>45</v>
      </c>
      <c r="E13" s="65" t="s">
        <v>40</v>
      </c>
      <c r="F13" s="65" t="s">
        <v>79</v>
      </c>
      <c r="G13" s="64">
        <v>5</v>
      </c>
      <c r="H13" s="65" t="s">
        <v>9</v>
      </c>
      <c r="J13" s="65" t="s">
        <v>80</v>
      </c>
      <c r="S13" s="65" t="s">
        <v>81</v>
      </c>
      <c r="T13" s="65" t="s">
        <v>82</v>
      </c>
    </row>
    <row r="14" spans="1:20" s="65" customFormat="1" ht="13" x14ac:dyDescent="0.15">
      <c r="A14" s="64">
        <v>8206</v>
      </c>
      <c r="B14" s="65" t="s">
        <v>37</v>
      </c>
      <c r="C14" s="65" t="s">
        <v>38</v>
      </c>
      <c r="D14" s="65" t="s">
        <v>39</v>
      </c>
      <c r="E14" s="65" t="s">
        <v>40</v>
      </c>
      <c r="F14" s="65" t="s">
        <v>83</v>
      </c>
      <c r="G14" s="64">
        <v>6</v>
      </c>
      <c r="H14" s="65" t="s">
        <v>17</v>
      </c>
      <c r="R14" s="65" t="s">
        <v>76</v>
      </c>
      <c r="S14" s="65" t="s">
        <v>84</v>
      </c>
      <c r="T14" s="65" t="s">
        <v>85</v>
      </c>
    </row>
    <row r="15" spans="1:20" s="65" customFormat="1" ht="13" x14ac:dyDescent="0.15">
      <c r="A15" s="64">
        <v>8205</v>
      </c>
      <c r="B15" s="65" t="s">
        <v>37</v>
      </c>
      <c r="C15" s="65" t="s">
        <v>38</v>
      </c>
      <c r="D15" s="65" t="s">
        <v>39</v>
      </c>
      <c r="E15" s="65" t="s">
        <v>40</v>
      </c>
      <c r="F15" s="65" t="s">
        <v>86</v>
      </c>
      <c r="G15" s="64">
        <v>3</v>
      </c>
      <c r="H15" s="65" t="s">
        <v>9</v>
      </c>
      <c r="J15" s="65" t="s">
        <v>54</v>
      </c>
      <c r="K15" s="65" t="s">
        <v>55</v>
      </c>
      <c r="S15" s="65" t="s">
        <v>56</v>
      </c>
      <c r="T15" s="65" t="s">
        <v>57</v>
      </c>
    </row>
    <row r="16" spans="1:20" s="65" customFormat="1" ht="13" x14ac:dyDescent="0.15">
      <c r="A16" s="64">
        <v>8204</v>
      </c>
      <c r="B16" s="65" t="s">
        <v>37</v>
      </c>
      <c r="C16" s="65" t="s">
        <v>38</v>
      </c>
      <c r="D16" s="65" t="s">
        <v>39</v>
      </c>
      <c r="E16" s="65" t="s">
        <v>40</v>
      </c>
      <c r="F16" s="65" t="s">
        <v>86</v>
      </c>
      <c r="G16" s="64">
        <v>3</v>
      </c>
      <c r="H16" s="65" t="s">
        <v>21</v>
      </c>
      <c r="S16" s="65" t="s">
        <v>87</v>
      </c>
      <c r="T16" s="65" t="s">
        <v>88</v>
      </c>
    </row>
    <row r="17" spans="1:20" s="65" customFormat="1" ht="13" x14ac:dyDescent="0.15">
      <c r="A17" s="64">
        <v>8203</v>
      </c>
      <c r="B17" s="65" t="s">
        <v>37</v>
      </c>
      <c r="C17" s="65" t="s">
        <v>38</v>
      </c>
      <c r="D17" s="65" t="s">
        <v>39</v>
      </c>
      <c r="E17" s="65" t="s">
        <v>46</v>
      </c>
      <c r="F17" s="65" t="s">
        <v>89</v>
      </c>
      <c r="G17" s="64">
        <v>2</v>
      </c>
      <c r="H17" s="65" t="s">
        <v>9</v>
      </c>
      <c r="J17" s="65" t="s">
        <v>54</v>
      </c>
      <c r="K17" s="65" t="s">
        <v>55</v>
      </c>
      <c r="S17" s="65" t="s">
        <v>56</v>
      </c>
      <c r="T17" s="65" t="s">
        <v>57</v>
      </c>
    </row>
    <row r="18" spans="1:20" s="65" customFormat="1" ht="13" x14ac:dyDescent="0.15">
      <c r="A18" s="64">
        <v>8202</v>
      </c>
      <c r="B18" s="65" t="s">
        <v>37</v>
      </c>
      <c r="C18" s="65" t="s">
        <v>38</v>
      </c>
      <c r="D18" s="65" t="s">
        <v>39</v>
      </c>
      <c r="E18" s="65" t="s">
        <v>46</v>
      </c>
      <c r="F18" s="65" t="s">
        <v>90</v>
      </c>
      <c r="G18" s="64">
        <v>2</v>
      </c>
      <c r="H18" s="65" t="s">
        <v>9</v>
      </c>
      <c r="J18" s="65" t="s">
        <v>54</v>
      </c>
      <c r="K18" s="65" t="s">
        <v>55</v>
      </c>
      <c r="S18" s="65" t="s">
        <v>56</v>
      </c>
      <c r="T18" s="65" t="s">
        <v>57</v>
      </c>
    </row>
    <row r="19" spans="1:20" s="65" customFormat="1" ht="13" x14ac:dyDescent="0.15">
      <c r="A19" s="64">
        <v>8201</v>
      </c>
      <c r="B19" s="65" t="s">
        <v>37</v>
      </c>
      <c r="C19" s="65" t="s">
        <v>38</v>
      </c>
      <c r="D19" s="65" t="s">
        <v>45</v>
      </c>
      <c r="E19" s="65" t="s">
        <v>40</v>
      </c>
      <c r="F19" s="65" t="s">
        <v>91</v>
      </c>
      <c r="G19" s="64">
        <v>2</v>
      </c>
      <c r="H19" s="65" t="s">
        <v>9</v>
      </c>
      <c r="J19" s="65" t="s">
        <v>80</v>
      </c>
      <c r="S19" s="65" t="s">
        <v>56</v>
      </c>
      <c r="T19" s="65" t="s">
        <v>92</v>
      </c>
    </row>
    <row r="20" spans="1:20" s="65" customFormat="1" ht="13" x14ac:dyDescent="0.15">
      <c r="A20" s="64">
        <v>8200</v>
      </c>
      <c r="B20" s="65" t="s">
        <v>37</v>
      </c>
      <c r="C20" s="65" t="s">
        <v>38</v>
      </c>
      <c r="D20" s="65" t="s">
        <v>45</v>
      </c>
      <c r="E20" s="65" t="s">
        <v>40</v>
      </c>
      <c r="F20" s="65" t="s">
        <v>93</v>
      </c>
      <c r="G20" s="64">
        <v>11</v>
      </c>
      <c r="H20" s="65" t="s">
        <v>13</v>
      </c>
      <c r="N20" s="65" t="s">
        <v>94</v>
      </c>
      <c r="S20" s="65" t="s">
        <v>95</v>
      </c>
      <c r="T20" s="65" t="s">
        <v>96</v>
      </c>
    </row>
    <row r="21" spans="1:20" s="65" customFormat="1" ht="13" x14ac:dyDescent="0.15">
      <c r="A21" s="64">
        <v>8199</v>
      </c>
      <c r="B21" s="65" t="s">
        <v>37</v>
      </c>
      <c r="C21" s="65" t="s">
        <v>38</v>
      </c>
      <c r="D21" s="65" t="s">
        <v>39</v>
      </c>
      <c r="E21" s="65" t="s">
        <v>40</v>
      </c>
      <c r="F21" s="65" t="s">
        <v>97</v>
      </c>
      <c r="G21" s="64">
        <v>3</v>
      </c>
      <c r="H21" s="65" t="s">
        <v>9</v>
      </c>
      <c r="J21" s="65" t="s">
        <v>54</v>
      </c>
      <c r="K21" s="65" t="s">
        <v>59</v>
      </c>
      <c r="S21" s="65" t="s">
        <v>56</v>
      </c>
      <c r="T21" s="65" t="s">
        <v>98</v>
      </c>
    </row>
    <row r="22" spans="1:20" s="65" customFormat="1" ht="13" x14ac:dyDescent="0.15">
      <c r="A22" s="64">
        <v>8198</v>
      </c>
      <c r="B22" s="65" t="s">
        <v>37</v>
      </c>
      <c r="C22" s="65" t="s">
        <v>38</v>
      </c>
      <c r="D22" s="65" t="s">
        <v>45</v>
      </c>
      <c r="E22" s="65" t="s">
        <v>40</v>
      </c>
      <c r="F22" s="65" t="s">
        <v>99</v>
      </c>
      <c r="G22" s="64">
        <v>8</v>
      </c>
      <c r="H22" s="65" t="s">
        <v>9</v>
      </c>
      <c r="J22" s="65" t="s">
        <v>54</v>
      </c>
      <c r="K22" s="65" t="s">
        <v>59</v>
      </c>
      <c r="S22" s="65" t="s">
        <v>56</v>
      </c>
      <c r="T22" s="65" t="s">
        <v>98</v>
      </c>
    </row>
    <row r="23" spans="1:20" s="65" customFormat="1" ht="13" x14ac:dyDescent="0.15">
      <c r="A23" s="64">
        <v>8197</v>
      </c>
      <c r="B23" s="65" t="s">
        <v>37</v>
      </c>
      <c r="C23" s="65" t="s">
        <v>38</v>
      </c>
      <c r="D23" s="65" t="s">
        <v>45</v>
      </c>
      <c r="E23" s="65" t="s">
        <v>40</v>
      </c>
      <c r="F23" s="65" t="s">
        <v>100</v>
      </c>
      <c r="G23" s="64">
        <v>9</v>
      </c>
      <c r="H23" s="65" t="s">
        <v>17</v>
      </c>
      <c r="R23" s="65" t="s">
        <v>76</v>
      </c>
      <c r="S23" s="65" t="s">
        <v>101</v>
      </c>
      <c r="T23" s="65" t="s">
        <v>102</v>
      </c>
    </row>
    <row r="24" spans="1:20" s="65" customFormat="1" ht="13" x14ac:dyDescent="0.15">
      <c r="A24" s="64">
        <v>8196</v>
      </c>
      <c r="B24" s="65" t="s">
        <v>37</v>
      </c>
      <c r="C24" s="65" t="s">
        <v>38</v>
      </c>
      <c r="D24" s="65" t="s">
        <v>45</v>
      </c>
      <c r="E24" s="65" t="s">
        <v>46</v>
      </c>
      <c r="F24" s="65" t="s">
        <v>103</v>
      </c>
      <c r="G24" s="64">
        <v>8</v>
      </c>
      <c r="H24" s="65" t="s">
        <v>13</v>
      </c>
      <c r="N24" s="65" t="s">
        <v>104</v>
      </c>
      <c r="S24" s="65" t="s">
        <v>105</v>
      </c>
      <c r="T24" s="65" t="s">
        <v>106</v>
      </c>
    </row>
    <row r="25" spans="1:20" s="65" customFormat="1" ht="13" x14ac:dyDescent="0.15">
      <c r="A25" s="64">
        <v>8195</v>
      </c>
      <c r="B25" s="65" t="s">
        <v>37</v>
      </c>
      <c r="C25" s="65" t="s">
        <v>38</v>
      </c>
      <c r="D25" s="65" t="s">
        <v>45</v>
      </c>
      <c r="E25" s="65" t="s">
        <v>40</v>
      </c>
      <c r="F25" s="65" t="s">
        <v>107</v>
      </c>
      <c r="G25" s="64">
        <v>11</v>
      </c>
      <c r="H25" s="65" t="s">
        <v>13</v>
      </c>
      <c r="N25" s="65" t="s">
        <v>104</v>
      </c>
      <c r="S25" s="65" t="s">
        <v>105</v>
      </c>
      <c r="T25" s="65" t="s">
        <v>108</v>
      </c>
    </row>
    <row r="26" spans="1:20" s="65" customFormat="1" ht="13" x14ac:dyDescent="0.15">
      <c r="A26" s="64">
        <v>8194</v>
      </c>
      <c r="B26" s="65" t="s">
        <v>37</v>
      </c>
      <c r="C26" s="65" t="s">
        <v>38</v>
      </c>
      <c r="D26" s="65" t="s">
        <v>39</v>
      </c>
      <c r="E26" s="65" t="s">
        <v>46</v>
      </c>
      <c r="F26" s="65" t="s">
        <v>109</v>
      </c>
      <c r="G26" s="64">
        <v>2</v>
      </c>
      <c r="H26" s="65" t="s">
        <v>21</v>
      </c>
      <c r="S26" s="65" t="s">
        <v>87</v>
      </c>
      <c r="T26" s="65" t="s">
        <v>88</v>
      </c>
    </row>
    <row r="27" spans="1:20" s="65" customFormat="1" ht="13" x14ac:dyDescent="0.15">
      <c r="A27" s="64">
        <v>8193</v>
      </c>
      <c r="B27" s="65" t="s">
        <v>37</v>
      </c>
      <c r="C27" s="65" t="s">
        <v>38</v>
      </c>
      <c r="D27" s="65" t="s">
        <v>45</v>
      </c>
      <c r="E27" s="65" t="s">
        <v>40</v>
      </c>
      <c r="F27" s="65" t="s">
        <v>110</v>
      </c>
      <c r="G27" s="64">
        <v>18</v>
      </c>
      <c r="H27" s="65" t="s">
        <v>11</v>
      </c>
      <c r="L27" s="65" t="s">
        <v>111</v>
      </c>
      <c r="S27" s="65" t="s">
        <v>112</v>
      </c>
      <c r="T27" s="65" t="s">
        <v>113</v>
      </c>
    </row>
    <row r="28" spans="1:20" s="65" customFormat="1" ht="13" x14ac:dyDescent="0.15">
      <c r="A28" s="64">
        <v>8192</v>
      </c>
      <c r="B28" s="65" t="s">
        <v>37</v>
      </c>
      <c r="C28" s="65" t="s">
        <v>38</v>
      </c>
      <c r="D28" s="65" t="s">
        <v>45</v>
      </c>
      <c r="E28" s="65" t="s">
        <v>40</v>
      </c>
      <c r="F28" s="65" t="s">
        <v>114</v>
      </c>
      <c r="G28" s="64">
        <v>2</v>
      </c>
      <c r="H28" s="65" t="s">
        <v>16</v>
      </c>
      <c r="Q28" s="65" t="s">
        <v>72</v>
      </c>
      <c r="S28" s="65" t="s">
        <v>105</v>
      </c>
      <c r="T28" s="65" t="s">
        <v>108</v>
      </c>
    </row>
    <row r="29" spans="1:20" s="65" customFormat="1" ht="13" x14ac:dyDescent="0.15">
      <c r="A29" s="64">
        <v>8191</v>
      </c>
      <c r="B29" s="65" t="s">
        <v>37</v>
      </c>
      <c r="C29" s="65" t="s">
        <v>38</v>
      </c>
      <c r="D29" s="65" t="s">
        <v>45</v>
      </c>
      <c r="E29" s="65" t="s">
        <v>46</v>
      </c>
      <c r="F29" s="65" t="s">
        <v>115</v>
      </c>
      <c r="G29" s="64">
        <v>2</v>
      </c>
      <c r="H29" s="65" t="s">
        <v>9</v>
      </c>
      <c r="J29" s="65" t="s">
        <v>54</v>
      </c>
      <c r="K29" s="65" t="s">
        <v>59</v>
      </c>
      <c r="S29" s="65" t="s">
        <v>56</v>
      </c>
      <c r="T29" s="65" t="s">
        <v>60</v>
      </c>
    </row>
    <row r="30" spans="1:20" s="65" customFormat="1" ht="13" x14ac:dyDescent="0.15">
      <c r="A30" s="64">
        <v>8190</v>
      </c>
      <c r="B30" s="65" t="s">
        <v>37</v>
      </c>
      <c r="C30" s="65" t="s">
        <v>38</v>
      </c>
      <c r="D30" s="65" t="s">
        <v>45</v>
      </c>
      <c r="E30" s="65" t="s">
        <v>46</v>
      </c>
      <c r="F30" s="65" t="s">
        <v>116</v>
      </c>
      <c r="G30" s="64">
        <v>9</v>
      </c>
      <c r="H30" s="65" t="s">
        <v>11</v>
      </c>
      <c r="L30" s="65" t="s">
        <v>117</v>
      </c>
      <c r="M30" s="65" t="s">
        <v>118</v>
      </c>
      <c r="S30" s="65" t="s">
        <v>119</v>
      </c>
      <c r="T30" s="65" t="s">
        <v>120</v>
      </c>
    </row>
    <row r="31" spans="1:20" s="65" customFormat="1" ht="13" x14ac:dyDescent="0.15">
      <c r="A31" s="64">
        <v>8187</v>
      </c>
      <c r="B31" s="65" t="s">
        <v>37</v>
      </c>
      <c r="C31" s="65" t="s">
        <v>38</v>
      </c>
      <c r="D31" s="65" t="s">
        <v>39</v>
      </c>
      <c r="E31" s="65" t="s">
        <v>46</v>
      </c>
      <c r="F31" s="65" t="s">
        <v>121</v>
      </c>
      <c r="G31" s="64">
        <v>2</v>
      </c>
      <c r="H31" s="65" t="s">
        <v>11</v>
      </c>
      <c r="L31" s="65" t="s">
        <v>111</v>
      </c>
      <c r="S31" s="65" t="s">
        <v>112</v>
      </c>
      <c r="T31" s="65" t="s">
        <v>122</v>
      </c>
    </row>
    <row r="32" spans="1:20" s="65" customFormat="1" ht="13" x14ac:dyDescent="0.15">
      <c r="A32" s="64">
        <v>8180</v>
      </c>
      <c r="B32" s="65" t="s">
        <v>37</v>
      </c>
      <c r="C32" s="65" t="s">
        <v>38</v>
      </c>
      <c r="D32" s="65" t="s">
        <v>45</v>
      </c>
      <c r="E32" s="65" t="s">
        <v>40</v>
      </c>
      <c r="F32" s="65" t="s">
        <v>123</v>
      </c>
      <c r="G32" s="64">
        <v>1</v>
      </c>
      <c r="H32" s="65" t="s">
        <v>15</v>
      </c>
      <c r="P32" s="65" t="s">
        <v>124</v>
      </c>
      <c r="S32" s="65" t="s">
        <v>125</v>
      </c>
      <c r="T32" s="65" t="s">
        <v>126</v>
      </c>
    </row>
    <row r="33" spans="1:20" s="65" customFormat="1" ht="13" x14ac:dyDescent="0.15">
      <c r="A33" s="64">
        <v>8179</v>
      </c>
      <c r="B33" s="65" t="s">
        <v>37</v>
      </c>
      <c r="C33" s="65" t="s">
        <v>38</v>
      </c>
      <c r="D33" s="65" t="s">
        <v>39</v>
      </c>
      <c r="E33" s="65" t="s">
        <v>40</v>
      </c>
      <c r="F33" s="65" t="s">
        <v>127</v>
      </c>
      <c r="G33" s="64">
        <v>2</v>
      </c>
      <c r="H33" s="65" t="s">
        <v>21</v>
      </c>
      <c r="S33" s="65" t="s">
        <v>87</v>
      </c>
      <c r="T33" s="65" t="s">
        <v>88</v>
      </c>
    </row>
    <row r="34" spans="1:20" s="65" customFormat="1" ht="13" x14ac:dyDescent="0.15">
      <c r="A34" s="64">
        <v>8157</v>
      </c>
      <c r="B34" s="65" t="s">
        <v>37</v>
      </c>
      <c r="C34" s="65" t="s">
        <v>38</v>
      </c>
      <c r="D34" s="65" t="s">
        <v>39</v>
      </c>
      <c r="E34" s="65" t="s">
        <v>40</v>
      </c>
      <c r="F34" s="65" t="s">
        <v>128</v>
      </c>
      <c r="G34" s="64">
        <v>3</v>
      </c>
      <c r="H34" s="65" t="s">
        <v>16</v>
      </c>
      <c r="Q34" s="65" t="s">
        <v>129</v>
      </c>
      <c r="S34" s="65" t="s">
        <v>130</v>
      </c>
      <c r="T34" s="65" t="s">
        <v>131</v>
      </c>
    </row>
    <row r="35" spans="1:20" s="65" customFormat="1" ht="13" x14ac:dyDescent="0.15">
      <c r="A35" s="64">
        <v>8156</v>
      </c>
      <c r="B35" s="65" t="s">
        <v>37</v>
      </c>
      <c r="C35" s="65" t="s">
        <v>38</v>
      </c>
      <c r="D35" s="65" t="s">
        <v>45</v>
      </c>
      <c r="E35" s="65" t="s">
        <v>40</v>
      </c>
      <c r="F35" s="65" t="s">
        <v>132</v>
      </c>
      <c r="G35" s="64">
        <v>18</v>
      </c>
      <c r="H35" s="65" t="s">
        <v>11</v>
      </c>
      <c r="L35" s="65" t="s">
        <v>117</v>
      </c>
      <c r="M35" s="65" t="s">
        <v>118</v>
      </c>
      <c r="S35" s="65" t="s">
        <v>133</v>
      </c>
      <c r="T35" s="65" t="s">
        <v>134</v>
      </c>
    </row>
    <row r="36" spans="1:20" s="65" customFormat="1" ht="13" x14ac:dyDescent="0.15">
      <c r="A36" s="64">
        <v>8155</v>
      </c>
      <c r="B36" s="65" t="s">
        <v>37</v>
      </c>
      <c r="C36" s="65" t="s">
        <v>38</v>
      </c>
      <c r="D36" s="65" t="s">
        <v>45</v>
      </c>
      <c r="E36" s="65" t="s">
        <v>40</v>
      </c>
      <c r="F36" s="65" t="s">
        <v>135</v>
      </c>
      <c r="G36" s="64">
        <v>5</v>
      </c>
      <c r="H36" s="65" t="s">
        <v>13</v>
      </c>
      <c r="N36" s="65" t="s">
        <v>104</v>
      </c>
      <c r="S36" s="65" t="s">
        <v>105</v>
      </c>
      <c r="T36" s="65" t="s">
        <v>108</v>
      </c>
    </row>
    <row r="37" spans="1:20" s="65" customFormat="1" ht="13" x14ac:dyDescent="0.15">
      <c r="A37" s="64">
        <v>8154</v>
      </c>
      <c r="B37" s="65" t="s">
        <v>37</v>
      </c>
      <c r="C37" s="65" t="s">
        <v>38</v>
      </c>
      <c r="D37" s="65" t="s">
        <v>39</v>
      </c>
      <c r="E37" s="65" t="s">
        <v>40</v>
      </c>
      <c r="F37" s="65" t="s">
        <v>128</v>
      </c>
      <c r="G37" s="64">
        <v>3</v>
      </c>
      <c r="H37" s="65" t="s">
        <v>9</v>
      </c>
      <c r="J37" s="65" t="s">
        <v>54</v>
      </c>
      <c r="K37" s="65" t="s">
        <v>136</v>
      </c>
      <c r="S37" s="65" t="s">
        <v>137</v>
      </c>
      <c r="T37" s="65" t="s">
        <v>138</v>
      </c>
    </row>
    <row r="38" spans="1:20" s="65" customFormat="1" ht="13" x14ac:dyDescent="0.15">
      <c r="A38" s="64">
        <v>8153</v>
      </c>
      <c r="B38" s="65" t="s">
        <v>37</v>
      </c>
      <c r="C38" s="65" t="s">
        <v>38</v>
      </c>
      <c r="D38" s="65" t="s">
        <v>39</v>
      </c>
      <c r="E38" s="65" t="s">
        <v>46</v>
      </c>
      <c r="F38" s="65" t="s">
        <v>139</v>
      </c>
      <c r="G38" s="64">
        <v>14</v>
      </c>
      <c r="H38" s="65" t="s">
        <v>13</v>
      </c>
      <c r="N38" s="65" t="s">
        <v>104</v>
      </c>
      <c r="S38" s="65" t="s">
        <v>105</v>
      </c>
      <c r="T38" s="65" t="s">
        <v>108</v>
      </c>
    </row>
    <row r="39" spans="1:20" s="65" customFormat="1" ht="13" x14ac:dyDescent="0.15">
      <c r="A39" s="64">
        <v>8152</v>
      </c>
      <c r="B39" s="65" t="s">
        <v>37</v>
      </c>
      <c r="C39" s="65" t="s">
        <v>38</v>
      </c>
      <c r="D39" s="65" t="s">
        <v>39</v>
      </c>
      <c r="E39" s="65" t="s">
        <v>40</v>
      </c>
      <c r="F39" s="65" t="s">
        <v>140</v>
      </c>
      <c r="G39" s="64">
        <v>1</v>
      </c>
      <c r="H39" s="65" t="s">
        <v>20</v>
      </c>
      <c r="S39" s="65" t="s">
        <v>95</v>
      </c>
      <c r="T39" s="65" t="s">
        <v>96</v>
      </c>
    </row>
    <row r="40" spans="1:20" s="65" customFormat="1" ht="13" x14ac:dyDescent="0.15">
      <c r="A40" s="64">
        <v>8151</v>
      </c>
      <c r="B40" s="65" t="s">
        <v>37</v>
      </c>
      <c r="C40" s="65" t="s">
        <v>38</v>
      </c>
      <c r="D40" s="65" t="s">
        <v>45</v>
      </c>
      <c r="E40" s="65" t="s">
        <v>40</v>
      </c>
      <c r="F40" s="65" t="s">
        <v>141</v>
      </c>
      <c r="G40" s="64">
        <v>9</v>
      </c>
      <c r="H40" s="65" t="s">
        <v>13</v>
      </c>
      <c r="N40" s="65" t="s">
        <v>104</v>
      </c>
      <c r="S40" s="65" t="s">
        <v>105</v>
      </c>
      <c r="T40" s="65" t="s">
        <v>108</v>
      </c>
    </row>
    <row r="41" spans="1:20" s="65" customFormat="1" ht="13" x14ac:dyDescent="0.15">
      <c r="A41" s="64">
        <v>8150</v>
      </c>
      <c r="B41" s="65" t="s">
        <v>37</v>
      </c>
      <c r="C41" s="65" t="s">
        <v>38</v>
      </c>
      <c r="D41" s="65" t="s">
        <v>39</v>
      </c>
      <c r="E41" s="65" t="s">
        <v>40</v>
      </c>
      <c r="F41" s="65" t="s">
        <v>142</v>
      </c>
      <c r="G41" s="64">
        <v>2</v>
      </c>
      <c r="H41" s="65" t="s">
        <v>8</v>
      </c>
      <c r="I41" s="65" t="s">
        <v>143</v>
      </c>
      <c r="S41" s="65" t="s">
        <v>144</v>
      </c>
      <c r="T41" s="65" t="s">
        <v>145</v>
      </c>
    </row>
    <row r="42" spans="1:20" s="65" customFormat="1" ht="13" x14ac:dyDescent="0.15">
      <c r="A42" s="64">
        <v>8144</v>
      </c>
      <c r="B42" s="65" t="s">
        <v>37</v>
      </c>
      <c r="C42" s="65" t="s">
        <v>38</v>
      </c>
      <c r="D42" s="65" t="s">
        <v>45</v>
      </c>
      <c r="E42" s="65" t="s">
        <v>46</v>
      </c>
      <c r="F42" s="65" t="s">
        <v>146</v>
      </c>
      <c r="G42" s="64">
        <v>11</v>
      </c>
      <c r="H42" s="65" t="s">
        <v>16</v>
      </c>
      <c r="Q42" s="65" t="s">
        <v>129</v>
      </c>
      <c r="S42" s="65" t="s">
        <v>130</v>
      </c>
      <c r="T42" s="65" t="s">
        <v>147</v>
      </c>
    </row>
    <row r="43" spans="1:20" s="65" customFormat="1" ht="13" x14ac:dyDescent="0.15">
      <c r="A43" s="64">
        <v>8142</v>
      </c>
      <c r="B43" s="65" t="s">
        <v>37</v>
      </c>
      <c r="C43" s="65" t="s">
        <v>38</v>
      </c>
      <c r="D43" s="65" t="s">
        <v>45</v>
      </c>
      <c r="E43" s="65" t="s">
        <v>46</v>
      </c>
      <c r="F43" s="65" t="s">
        <v>146</v>
      </c>
      <c r="G43" s="64">
        <v>11</v>
      </c>
      <c r="H43" s="65" t="s">
        <v>15</v>
      </c>
      <c r="P43" s="65" t="s">
        <v>148</v>
      </c>
      <c r="S43" s="65" t="s">
        <v>149</v>
      </c>
      <c r="T43" s="65" t="s">
        <v>150</v>
      </c>
    </row>
    <row r="44" spans="1:20" s="65" customFormat="1" ht="13" x14ac:dyDescent="0.15">
      <c r="A44" s="64">
        <v>8139</v>
      </c>
      <c r="B44" s="65" t="s">
        <v>37</v>
      </c>
      <c r="C44" s="65" t="s">
        <v>38</v>
      </c>
      <c r="D44" s="65" t="s">
        <v>45</v>
      </c>
      <c r="E44" s="65" t="s">
        <v>40</v>
      </c>
      <c r="F44" s="65" t="s">
        <v>151</v>
      </c>
      <c r="G44" s="64">
        <v>3</v>
      </c>
      <c r="H44" s="65" t="s">
        <v>17</v>
      </c>
      <c r="R44" s="65" t="s">
        <v>76</v>
      </c>
      <c r="S44" s="65" t="s">
        <v>152</v>
      </c>
      <c r="T44" s="65" t="s">
        <v>153</v>
      </c>
    </row>
    <row r="45" spans="1:20" s="65" customFormat="1" ht="13" x14ac:dyDescent="0.15">
      <c r="A45" s="64">
        <v>8138</v>
      </c>
      <c r="B45" s="65" t="s">
        <v>37</v>
      </c>
      <c r="C45" s="65" t="s">
        <v>38</v>
      </c>
      <c r="D45" s="65" t="s">
        <v>45</v>
      </c>
      <c r="E45" s="65" t="s">
        <v>40</v>
      </c>
      <c r="F45" s="65" t="s">
        <v>154</v>
      </c>
      <c r="G45" s="64">
        <v>1</v>
      </c>
      <c r="H45" s="65" t="s">
        <v>8</v>
      </c>
      <c r="I45" s="65" t="s">
        <v>143</v>
      </c>
      <c r="S45" s="65" t="s">
        <v>155</v>
      </c>
      <c r="T45" s="65" t="s">
        <v>156</v>
      </c>
    </row>
    <row r="46" spans="1:20" s="65" customFormat="1" ht="13" x14ac:dyDescent="0.15">
      <c r="A46" s="64">
        <v>8137</v>
      </c>
      <c r="B46" s="65" t="s">
        <v>37</v>
      </c>
      <c r="C46" s="65" t="s">
        <v>38</v>
      </c>
      <c r="D46" s="65" t="s">
        <v>45</v>
      </c>
      <c r="E46" s="65" t="s">
        <v>40</v>
      </c>
      <c r="F46" s="65" t="s">
        <v>151</v>
      </c>
      <c r="G46" s="64">
        <v>3</v>
      </c>
      <c r="H46" s="65" t="s">
        <v>9</v>
      </c>
      <c r="J46" s="65" t="s">
        <v>54</v>
      </c>
      <c r="K46" s="65" t="s">
        <v>55</v>
      </c>
      <c r="S46" s="65" t="s">
        <v>56</v>
      </c>
      <c r="T46" s="65" t="s">
        <v>57</v>
      </c>
    </row>
    <row r="47" spans="1:20" s="65" customFormat="1" ht="13" x14ac:dyDescent="0.15">
      <c r="A47" s="64">
        <v>8136</v>
      </c>
      <c r="B47" s="65" t="s">
        <v>37</v>
      </c>
      <c r="C47" s="65" t="s">
        <v>38</v>
      </c>
      <c r="D47" s="65" t="s">
        <v>45</v>
      </c>
      <c r="E47" s="65" t="s">
        <v>46</v>
      </c>
      <c r="F47" s="65" t="s">
        <v>157</v>
      </c>
      <c r="G47" s="64">
        <v>0</v>
      </c>
      <c r="H47" s="65" t="s">
        <v>8</v>
      </c>
      <c r="I47" s="65" t="s">
        <v>143</v>
      </c>
      <c r="S47" s="65" t="s">
        <v>155</v>
      </c>
      <c r="T47" s="65" t="s">
        <v>158</v>
      </c>
    </row>
    <row r="48" spans="1:20" s="65" customFormat="1" ht="13" x14ac:dyDescent="0.15">
      <c r="A48" s="64">
        <v>8135</v>
      </c>
      <c r="B48" s="65" t="s">
        <v>37</v>
      </c>
      <c r="C48" s="65" t="s">
        <v>38</v>
      </c>
      <c r="D48" s="65" t="s">
        <v>45</v>
      </c>
      <c r="E48" s="65" t="s">
        <v>46</v>
      </c>
      <c r="F48" s="65" t="s">
        <v>159</v>
      </c>
      <c r="G48" s="64">
        <v>4</v>
      </c>
      <c r="H48" s="65" t="s">
        <v>13</v>
      </c>
      <c r="N48" s="65" t="s">
        <v>104</v>
      </c>
      <c r="S48" s="65" t="s">
        <v>105</v>
      </c>
      <c r="T48" s="65" t="s">
        <v>108</v>
      </c>
    </row>
    <row r="49" spans="1:20" s="65" customFormat="1" ht="13" x14ac:dyDescent="0.15">
      <c r="A49" s="64">
        <v>8134</v>
      </c>
      <c r="B49" s="65" t="s">
        <v>37</v>
      </c>
      <c r="C49" s="65" t="s">
        <v>38</v>
      </c>
      <c r="D49" s="65" t="s">
        <v>45</v>
      </c>
      <c r="E49" s="65" t="s">
        <v>40</v>
      </c>
      <c r="F49" s="65" t="s">
        <v>160</v>
      </c>
      <c r="G49" s="64">
        <v>3</v>
      </c>
      <c r="H49" s="65" t="s">
        <v>13</v>
      </c>
      <c r="N49" s="65" t="s">
        <v>104</v>
      </c>
      <c r="S49" s="65" t="s">
        <v>105</v>
      </c>
      <c r="T49" s="65" t="s">
        <v>108</v>
      </c>
    </row>
    <row r="50" spans="1:20" s="65" customFormat="1" ht="13" x14ac:dyDescent="0.15">
      <c r="A50" s="64">
        <v>8133</v>
      </c>
      <c r="B50" s="65" t="s">
        <v>37</v>
      </c>
      <c r="C50" s="65" t="s">
        <v>38</v>
      </c>
      <c r="D50" s="65" t="s">
        <v>39</v>
      </c>
      <c r="E50" s="65" t="s">
        <v>40</v>
      </c>
      <c r="F50" s="65" t="s">
        <v>161</v>
      </c>
      <c r="G50" s="64">
        <v>12</v>
      </c>
      <c r="H50" s="65" t="s">
        <v>16</v>
      </c>
      <c r="Q50" s="65" t="s">
        <v>129</v>
      </c>
      <c r="S50" s="65" t="s">
        <v>130</v>
      </c>
      <c r="T50" s="65" t="s">
        <v>162</v>
      </c>
    </row>
    <row r="51" spans="1:20" s="65" customFormat="1" ht="13" x14ac:dyDescent="0.15">
      <c r="A51" s="64">
        <v>8131</v>
      </c>
      <c r="B51" s="65" t="s">
        <v>37</v>
      </c>
      <c r="C51" s="65" t="s">
        <v>38</v>
      </c>
      <c r="D51" s="65" t="s">
        <v>45</v>
      </c>
      <c r="E51" s="65" t="s">
        <v>40</v>
      </c>
      <c r="F51" s="65" t="s">
        <v>163</v>
      </c>
      <c r="G51" s="64">
        <v>19</v>
      </c>
      <c r="H51" s="65" t="s">
        <v>9</v>
      </c>
      <c r="J51" s="65" t="s">
        <v>54</v>
      </c>
      <c r="K51" s="65" t="s">
        <v>59</v>
      </c>
      <c r="S51" s="65" t="s">
        <v>56</v>
      </c>
      <c r="T51" s="65" t="s">
        <v>98</v>
      </c>
    </row>
    <row r="52" spans="1:20" s="65" customFormat="1" ht="13" x14ac:dyDescent="0.15">
      <c r="A52" s="64">
        <v>8130</v>
      </c>
      <c r="B52" s="65" t="s">
        <v>37</v>
      </c>
      <c r="C52" s="65" t="s">
        <v>38</v>
      </c>
      <c r="D52" s="65" t="s">
        <v>39</v>
      </c>
      <c r="E52" s="65" t="s">
        <v>46</v>
      </c>
      <c r="F52" s="65" t="s">
        <v>164</v>
      </c>
      <c r="G52" s="64">
        <v>7</v>
      </c>
      <c r="H52" s="65" t="s">
        <v>16</v>
      </c>
      <c r="Q52" s="65" t="s">
        <v>129</v>
      </c>
      <c r="S52" s="65" t="s">
        <v>130</v>
      </c>
      <c r="T52" s="65" t="s">
        <v>165</v>
      </c>
    </row>
    <row r="53" spans="1:20" s="65" customFormat="1" ht="13" x14ac:dyDescent="0.15">
      <c r="A53" s="64">
        <v>8129</v>
      </c>
      <c r="B53" s="65" t="s">
        <v>37</v>
      </c>
      <c r="C53" s="65" t="s">
        <v>38</v>
      </c>
      <c r="D53" s="65" t="s">
        <v>39</v>
      </c>
      <c r="E53" s="65" t="s">
        <v>46</v>
      </c>
      <c r="F53" s="65" t="s">
        <v>164</v>
      </c>
      <c r="G53" s="64">
        <v>7</v>
      </c>
      <c r="H53" s="65" t="s">
        <v>17</v>
      </c>
      <c r="R53" s="65" t="s">
        <v>76</v>
      </c>
      <c r="S53" s="65" t="s">
        <v>166</v>
      </c>
      <c r="T53" s="65" t="s">
        <v>167</v>
      </c>
    </row>
    <row r="54" spans="1:20" s="65" customFormat="1" ht="13" x14ac:dyDescent="0.15">
      <c r="A54" s="64">
        <v>8110</v>
      </c>
      <c r="B54" s="65" t="s">
        <v>37</v>
      </c>
      <c r="C54" s="65" t="s">
        <v>38</v>
      </c>
      <c r="D54" s="65" t="s">
        <v>45</v>
      </c>
      <c r="E54" s="65" t="s">
        <v>40</v>
      </c>
      <c r="F54" s="65" t="s">
        <v>168</v>
      </c>
      <c r="G54" s="64">
        <v>3</v>
      </c>
      <c r="H54" s="65" t="s">
        <v>11</v>
      </c>
      <c r="L54" s="65" t="s">
        <v>111</v>
      </c>
      <c r="S54" s="65" t="s">
        <v>112</v>
      </c>
      <c r="T54" s="65" t="s">
        <v>169</v>
      </c>
    </row>
    <row r="55" spans="1:20" s="65" customFormat="1" ht="13" x14ac:dyDescent="0.15">
      <c r="A55" s="64">
        <v>8116</v>
      </c>
      <c r="B55" s="65" t="s">
        <v>37</v>
      </c>
      <c r="C55" s="65" t="s">
        <v>38</v>
      </c>
      <c r="D55" s="65" t="s">
        <v>45</v>
      </c>
      <c r="E55" s="65" t="s">
        <v>40</v>
      </c>
      <c r="F55" s="65" t="s">
        <v>170</v>
      </c>
      <c r="G55" s="64">
        <v>12</v>
      </c>
      <c r="H55" s="65" t="s">
        <v>15</v>
      </c>
      <c r="P55" s="65" t="s">
        <v>124</v>
      </c>
      <c r="S55" s="65" t="s">
        <v>171</v>
      </c>
      <c r="T55" s="65" t="s">
        <v>172</v>
      </c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5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8">_xlfn._xlws.FILTER('Data Sheet'!A:A,'Data Sheet'!H:H=A2,"NA")</f>
        <v>8213</v>
      </c>
      <c r="B4" s="21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12/05/2019</v>
      </c>
      <c r="G4" s="24">
        <f>_xlfn.IFNA(VLOOKUP($A4,'Data Sheet'!$A:G,7,FALSE),"NA")</f>
        <v>2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C. Diaphragm Deformities</v>
      </c>
      <c r="J4" s="24" t="str">
        <f>_xlfn.IFNA(VLOOKUP($A4,'Data Sheet'!$A:S,19,FALSE),"NA")</f>
        <v>Q79.0</v>
      </c>
      <c r="K4" s="25" t="str">
        <f>_xlfn.IFNA(VLOOKUP($A4,'Data Sheet'!$A:T,20,FALSE),"NA")</f>
        <v>Congenital Diaphragmatic Hernia,left</v>
      </c>
    </row>
    <row r="5" spans="1:20" ht="13" x14ac:dyDescent="0.15">
      <c r="A5" s="20">
        <v>8212</v>
      </c>
      <c r="B5" s="21" t="str">
        <f>_xlfn.IFNA(VLOOKUP($A5,'Data Sheet'!$A:B,2,FALSE),"NA")</f>
        <v>21/09/2021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12/05/2019</v>
      </c>
      <c r="G5" s="26">
        <f>_xlfn.IFNA(VLOOKUP($A5,'Data Sheet'!$A:G,7,FALSE),"NA")</f>
        <v>2</v>
      </c>
      <c r="H5" s="26" t="str">
        <f>_xlfn.IFNA(VLOOKUP($A5,'Data Sheet'!$A:H,8,FALSE),"NA")</f>
        <v>I. Congenital Malformations of the Respiratory Tract</v>
      </c>
      <c r="I5" s="29" t="str">
        <f>_xlfn.IFNA(VLOOKUP($A5,'Data Sheet'!$A:I,9,FALSE),"NA")</f>
        <v>C. Diaphragm Deformities</v>
      </c>
      <c r="J5" s="26" t="str">
        <f>_xlfn.IFNA(VLOOKUP($A5,'Data Sheet'!$A:S,19,FALSE),"NA")</f>
        <v>Q79.0</v>
      </c>
      <c r="K5" s="29" t="str">
        <f>_xlfn.IFNA(VLOOKUP($A5,'Data Sheet'!$A:T,20,FALSE),"NA")</f>
        <v>Congenital Diaphragmatic Hernia,left</v>
      </c>
    </row>
    <row r="6" spans="1:20" ht="13" x14ac:dyDescent="0.15">
      <c r="A6" s="20">
        <v>8150</v>
      </c>
      <c r="B6" s="21" t="str">
        <f>_xlfn.IFNA(VLOOKUP($A6,'Data Sheet'!$A:B,2,FALSE),"NA")</f>
        <v>21/09/2021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19/11/2018</v>
      </c>
      <c r="G6" s="26">
        <f>_xlfn.IFNA(VLOOKUP($A6,'Data Sheet'!$A:G,7,FALSE),"NA")</f>
        <v>2</v>
      </c>
      <c r="H6" s="26" t="str">
        <f>_xlfn.IFNA(VLOOKUP($A6,'Data Sheet'!$A:H,8,FALSE),"NA")</f>
        <v>I. Congenital Malformations of the Respiratory Tract</v>
      </c>
      <c r="I6" s="29" t="str">
        <f>_xlfn.IFNA(VLOOKUP($A6,'Data Sheet'!$A:I,9,FALSE),"NA")</f>
        <v>D. Laryngeal, Tracheal and Esophageal Deformities</v>
      </c>
      <c r="J6" s="26" t="str">
        <f>_xlfn.IFNA(VLOOKUP($A6,'Data Sheet'!$A:S,19,FALSE),"NA")</f>
        <v>Q32.0</v>
      </c>
      <c r="K6" s="29" t="str">
        <f>_xlfn.IFNA(VLOOKUP($A6,'Data Sheet'!$A:T,20,FALSE),"NA")</f>
        <v>Congenital Tracheomalacia</v>
      </c>
    </row>
    <row r="7" spans="1:20" ht="13" x14ac:dyDescent="0.15">
      <c r="A7" s="20">
        <v>8138</v>
      </c>
      <c r="B7" s="21" t="str">
        <f>_xlfn.IFNA(VLOOKUP($A7,'Data Sheet'!$A:B,2,FALSE),"NA")</f>
        <v>21/09/2021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08/03/2020</v>
      </c>
      <c r="G7" s="26">
        <f>_xlfn.IFNA(VLOOKUP($A7,'Data Sheet'!$A:G,7,FALSE),"NA")</f>
        <v>1</v>
      </c>
      <c r="H7" s="26" t="str">
        <f>_xlfn.IFNA(VLOOKUP($A7,'Data Sheet'!$A:H,8,FALSE),"NA")</f>
        <v>I. Congenital Malformations of the Respiratory Tract</v>
      </c>
      <c r="I7" s="29" t="str">
        <f>_xlfn.IFNA(VLOOKUP($A7,'Data Sheet'!$A:I,9,FALSE),"NA")</f>
        <v>D. Laryngeal, Tracheal and Esophageal Deformities</v>
      </c>
      <c r="J7" s="26" t="str">
        <f>_xlfn.IFNA(VLOOKUP($A7,'Data Sheet'!$A:S,19,FALSE),"NA")</f>
        <v>J39.8</v>
      </c>
      <c r="K7" s="29" t="str">
        <f>_xlfn.IFNA(VLOOKUP($A7,'Data Sheet'!$A:T,20,FALSE),"NA")</f>
        <v>Tracheal Stenosis,</v>
      </c>
    </row>
    <row r="8" spans="1:20" ht="13" x14ac:dyDescent="0.15">
      <c r="A8" s="20">
        <v>8136</v>
      </c>
      <c r="B8" s="21" t="str">
        <f>_xlfn.IFNA(VLOOKUP($A8,'Data Sheet'!$A:B,2,FALSE),"NA")</f>
        <v>21/09/2021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Female</v>
      </c>
      <c r="F8" s="23" t="str">
        <f>_xlfn.IFNA(VLOOKUP($A8,'Data Sheet'!$A:F,6,FALSE),"NA")</f>
        <v>12/11/2020</v>
      </c>
      <c r="G8" s="26">
        <f>_xlfn.IFNA(VLOOKUP($A8,'Data Sheet'!$A:G,7,FALSE),"NA")</f>
        <v>0</v>
      </c>
      <c r="H8" s="26" t="str">
        <f>_xlfn.IFNA(VLOOKUP($A8,'Data Sheet'!$A:H,8,FALSE),"NA")</f>
        <v>I. Congenital Malformations of the Respiratory Tract</v>
      </c>
      <c r="I8" s="29" t="str">
        <f>_xlfn.IFNA(VLOOKUP($A8,'Data Sheet'!$A:I,9,FALSE),"NA")</f>
        <v>D. Laryngeal, Tracheal and Esophageal Deformities</v>
      </c>
      <c r="J8" s="26" t="str">
        <f>_xlfn.IFNA(VLOOKUP($A8,'Data Sheet'!$A:S,19,FALSE),"NA")</f>
        <v>J39.8</v>
      </c>
      <c r="K8" s="29" t="str">
        <f>_xlfn.IFNA(VLOOKUP($A8,'Data Sheet'!$A:T,20,FALSE),"NA")</f>
        <v>Tracheal stenosis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8152</v>
      </c>
      <c r="B4" s="21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11/11/2019</v>
      </c>
      <c r="G4" s="24">
        <f>_xlfn.IFNA(VLOOKUP($A4,'Data Sheet'!$A:G,7,FALSE),"NA")</f>
        <v>1</v>
      </c>
      <c r="H4" s="25" t="str">
        <f>_xlfn.IFNA(VLOOKUP($A4,'Data Sheet'!$A:H,8,FALSE),"NA")</f>
        <v>II. Respiratory Disorders of the Newborn</v>
      </c>
      <c r="I4" s="24" t="str">
        <f>_xlfn.IFNA(VLOOKUP($A4,'Data Sheet'!$A:S,19,FALSE),"NA")</f>
        <v>J80</v>
      </c>
      <c r="J4" s="25" t="str">
        <f>_xlfn.IFNA(VLOOKUP($A4,'Data Sheet'!$A:T,20,FALSE),"NA")</f>
        <v>Acute Respiratory Distress Syndrome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6">_xlfn._xlws.FILTER('Data Sheet'!A:A,'Data Sheet'!H:H=A2,"NA")</f>
        <v>8204</v>
      </c>
      <c r="B4" s="21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15/08/2018</v>
      </c>
      <c r="G4" s="24">
        <f>_xlfn.IFNA(VLOOKUP($A4,'Data Sheet'!$A:G,7,FALSE),"NA")</f>
        <v>3</v>
      </c>
      <c r="H4" s="25" t="str">
        <f>_xlfn.IFNA(VLOOKUP($A4,'Data Sheet'!$A:H,8,FALSE),"NA")</f>
        <v>III. Bronchopulmonary Dysplasia</v>
      </c>
      <c r="I4" s="24" t="str">
        <f>_xlfn.IFNA(VLOOKUP($A4,'Data Sheet'!$A:S,19,FALSE),"NA")</f>
        <v>P27.9</v>
      </c>
      <c r="J4" s="25" t="str">
        <f>_xlfn.IFNA(VLOOKUP($A4,'Data Sheet'!$A:T,20,FALSE),"NA")</f>
        <v>Bronchopulmonary Dysplasia</v>
      </c>
    </row>
    <row r="5" spans="1:19" ht="13" x14ac:dyDescent="0.15">
      <c r="A5" s="20">
        <v>8194</v>
      </c>
      <c r="B5" s="21" t="str">
        <f>_xlfn.IFNA(VLOOKUP($A5,'Data Sheet'!$A:B,2,FALSE),"NA")</f>
        <v>21/09/2021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Female</v>
      </c>
      <c r="F5" s="23" t="str">
        <f>_xlfn.IFNA(VLOOKUP($A5,'Data Sheet'!$A:F,6,FALSE),"NA")</f>
        <v>09/10/2018</v>
      </c>
      <c r="G5" s="26">
        <f>_xlfn.IFNA(VLOOKUP($A5,'Data Sheet'!$A:G,7,FALSE),"NA")</f>
        <v>2</v>
      </c>
      <c r="H5" s="29" t="str">
        <f>_xlfn.IFNA(VLOOKUP($A5,'Data Sheet'!$A:H,8,FALSE),"NA")</f>
        <v>III. Bronchopulmonary Dysplasia</v>
      </c>
      <c r="I5" s="26" t="str">
        <f>_xlfn.IFNA(VLOOKUP($A5,'Data Sheet'!$A:S,19,FALSE),"NA")</f>
        <v>P27.9</v>
      </c>
      <c r="J5" s="29" t="str">
        <f>_xlfn.IFNA(VLOOKUP($A5,'Data Sheet'!$A:T,20,FALSE),"NA")</f>
        <v>Bronchopulmonary Dysplasia</v>
      </c>
    </row>
    <row r="6" spans="1:19" ht="13" x14ac:dyDescent="0.15">
      <c r="A6" s="20">
        <v>8179</v>
      </c>
      <c r="B6" s="21" t="str">
        <f>_xlfn.IFNA(VLOOKUP($A6,'Data Sheet'!$A:B,2,FALSE),"NA")</f>
        <v>21/09/2021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07/04/2019</v>
      </c>
      <c r="G6" s="26">
        <f>_xlfn.IFNA(VLOOKUP($A6,'Data Sheet'!$A:G,7,FALSE),"NA")</f>
        <v>2</v>
      </c>
      <c r="H6" s="29" t="str">
        <f>_xlfn.IFNA(VLOOKUP($A6,'Data Sheet'!$A:H,8,FALSE),"NA")</f>
        <v>III. Bronchopulmonary Dysplasia</v>
      </c>
      <c r="I6" s="26" t="str">
        <f>_xlfn.IFNA(VLOOKUP($A6,'Data Sheet'!$A:S,19,FALSE),"NA")</f>
        <v>P27.9</v>
      </c>
      <c r="J6" s="29" t="str">
        <f>_xlfn.IFNA(VLOOKUP($A6,'Data Sheet'!$A:T,20,FALSE),"NA")</f>
        <v>Bronchopulmonary Dysplasia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7">_xlfn._xlws.FILTER('Data Sheet'!A:A,'Data Sheet'!H:H=A2,"NA")</f>
        <v>8215</v>
      </c>
      <c r="B4" s="22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03/01/2019</v>
      </c>
      <c r="G4" s="24">
        <f>_xlfn.IFNA(VLOOKUP($A4,'Data Sheet'!$A:G,7,FALSE),"NA")</f>
        <v>2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2. Health Care Associated pneumonia</v>
      </c>
      <c r="J4" s="24" t="str">
        <f>_xlfn.IFNA(VLOOKUP($A4,'Data Sheet'!$A:S,19,FALSE),"NA")</f>
        <v>J18.0</v>
      </c>
      <c r="K4" s="25" t="str">
        <f>_xlfn.IFNA(VLOOKUP($A4,'Data Sheet'!$A:T,20,FALSE),"NA")</f>
        <v>Health Care Associated Pneumonia</v>
      </c>
    </row>
    <row r="5" spans="1:20" ht="13" x14ac:dyDescent="0.15">
      <c r="A5" s="20">
        <v>8214</v>
      </c>
      <c r="B5" s="22" t="str">
        <f>_xlfn.IFNA(VLOOKUP($A5,'Data Sheet'!$A:B,2,FALSE),"NA")</f>
        <v>21/09/2021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26/06/2017</v>
      </c>
      <c r="G5" s="26">
        <f>_xlfn.IFNA(VLOOKUP($A5,'Data Sheet'!$A:G,7,FALSE),"NA")</f>
        <v>4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1. Pneumonia, community acquired- (PCAP A, B, C or D)</v>
      </c>
      <c r="J5" s="26" t="str">
        <f>_xlfn.IFNA(VLOOKUP($A5,'Data Sheet'!$A:S,19,FALSE),"NA")</f>
        <v>J18.0</v>
      </c>
      <c r="K5" s="29" t="str">
        <f>_xlfn.IFNA(VLOOKUP($A5,'Data Sheet'!$A:T,20,FALSE),"NA")</f>
        <v>PCAP-D</v>
      </c>
    </row>
    <row r="6" spans="1:20" ht="13" x14ac:dyDescent="0.15">
      <c r="A6" s="20">
        <v>8211</v>
      </c>
      <c r="B6" s="22" t="str">
        <f>_xlfn.IFNA(VLOOKUP($A6,'Data Sheet'!$A:B,2,FALSE),"NA")</f>
        <v>21/09/2021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11/05/2019</v>
      </c>
      <c r="G6" s="26">
        <f>_xlfn.IFNA(VLOOKUP($A6,'Data Sheet'!$A:G,7,FALSE),"NA")</f>
        <v>2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2. Health Care Associated pneumonia</v>
      </c>
      <c r="J6" s="26" t="str">
        <f>_xlfn.IFNA(VLOOKUP($A6,'Data Sheet'!$A:S,19,FALSE),"NA")</f>
        <v>J18.0</v>
      </c>
      <c r="K6" s="29" t="str">
        <f>_xlfn.IFNA(VLOOKUP($A6,'Data Sheet'!$A:T,20,FALSE),"NA")</f>
        <v>Health Care Associated Pneumonia</v>
      </c>
    </row>
    <row r="7" spans="1:20" ht="13" x14ac:dyDescent="0.15">
      <c r="A7" s="20">
        <v>8207</v>
      </c>
      <c r="B7" s="22" t="str">
        <f>_xlfn.IFNA(VLOOKUP($A7,'Data Sheet'!$A:B,2,FALSE),"NA")</f>
        <v>21/09/2021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13/07/2016</v>
      </c>
      <c r="G7" s="26">
        <f>_xlfn.IFNA(VLOOKUP($A7,'Data Sheet'!$A:G,7,FALSE),"NA")</f>
        <v>5</v>
      </c>
      <c r="H7" s="29" t="str">
        <f>_xlfn.IFNA(VLOOKUP($A7,'Data Sheet'!$A:J,10,FALSE),"NA")</f>
        <v>A. Upper Respiratory Tract</v>
      </c>
      <c r="I7" s="29">
        <f>_xlfn.IFNA(VLOOKUP($A7,'Data Sheet'!$A:K,11,FALSE),"NA")</f>
        <v>0</v>
      </c>
      <c r="J7" s="26" t="str">
        <f>_xlfn.IFNA(VLOOKUP($A7,'Data Sheet'!$A:S,19,FALSE),"NA")</f>
        <v>A36. 9</v>
      </c>
      <c r="K7" s="29" t="str">
        <f>_xlfn.IFNA(VLOOKUP($A7,'Data Sheet'!$A:T,20,FALSE),"NA")</f>
        <v>Upper airway obstruction sec to Diptheria</v>
      </c>
    </row>
    <row r="8" spans="1:20" ht="13" x14ac:dyDescent="0.15">
      <c r="A8" s="20">
        <v>8205</v>
      </c>
      <c r="B8" s="22" t="str">
        <f>_xlfn.IFNA(VLOOKUP($A8,'Data Sheet'!$A:B,2,FALSE),"NA")</f>
        <v>21/09/2021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Male</v>
      </c>
      <c r="F8" s="23" t="str">
        <f>_xlfn.IFNA(VLOOKUP($A8,'Data Sheet'!$A:F,6,FALSE),"NA")</f>
        <v>15/08/2018</v>
      </c>
      <c r="G8" s="26">
        <f>_xlfn.IFNA(VLOOKUP($A8,'Data Sheet'!$A:G,7,FALSE),"NA")</f>
        <v>3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2. Health Care Associated pneumonia</v>
      </c>
      <c r="J8" s="26" t="str">
        <f>_xlfn.IFNA(VLOOKUP($A8,'Data Sheet'!$A:S,19,FALSE),"NA")</f>
        <v>J18.0</v>
      </c>
      <c r="K8" s="29" t="str">
        <f>_xlfn.IFNA(VLOOKUP($A8,'Data Sheet'!$A:T,20,FALSE),"NA")</f>
        <v>Health Care Associated Pneumonia</v>
      </c>
    </row>
    <row r="9" spans="1:20" ht="13" x14ac:dyDescent="0.15">
      <c r="A9" s="20">
        <v>8203</v>
      </c>
      <c r="B9" s="22" t="str">
        <f>_xlfn.IFNA(VLOOKUP($A9,'Data Sheet'!$A:B,2,FALSE),"NA")</f>
        <v>21/09/2021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Female</v>
      </c>
      <c r="F9" s="23" t="str">
        <f>_xlfn.IFNA(VLOOKUP($A9,'Data Sheet'!$A:F,6,FALSE),"NA")</f>
        <v>16/11/2018</v>
      </c>
      <c r="G9" s="26">
        <f>_xlfn.IFNA(VLOOKUP($A9,'Data Sheet'!$A:G,7,FALSE),"NA")</f>
        <v>2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2. Health Care Associated pneumonia</v>
      </c>
      <c r="J9" s="26" t="str">
        <f>_xlfn.IFNA(VLOOKUP($A9,'Data Sheet'!$A:S,19,FALSE),"NA")</f>
        <v>J18.0</v>
      </c>
      <c r="K9" s="29" t="str">
        <f>_xlfn.IFNA(VLOOKUP($A9,'Data Sheet'!$A:T,20,FALSE),"NA")</f>
        <v>Health Care Associated Pneumonia</v>
      </c>
    </row>
    <row r="10" spans="1:20" ht="13" x14ac:dyDescent="0.15">
      <c r="A10" s="20">
        <v>8202</v>
      </c>
      <c r="B10" s="22" t="str">
        <f>_xlfn.IFNA(VLOOKUP($A10,'Data Sheet'!$A:B,2,FALSE),"NA")</f>
        <v>21/09/2021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Female</v>
      </c>
      <c r="F10" s="23" t="str">
        <f>_xlfn.IFNA(VLOOKUP($A10,'Data Sheet'!$A:F,6,FALSE),"NA")</f>
        <v>06/11/2018</v>
      </c>
      <c r="G10" s="26">
        <f>_xlfn.IFNA(VLOOKUP($A10,'Data Sheet'!$A:G,7,FALSE),"NA")</f>
        <v>2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2. Health Care Associated pneumonia</v>
      </c>
      <c r="J10" s="26" t="str">
        <f>_xlfn.IFNA(VLOOKUP($A10,'Data Sheet'!$A:S,19,FALSE),"NA")</f>
        <v>J18.0</v>
      </c>
      <c r="K10" s="29" t="str">
        <f>_xlfn.IFNA(VLOOKUP($A10,'Data Sheet'!$A:T,20,FALSE),"NA")</f>
        <v>Health Care Associated Pneumonia</v>
      </c>
    </row>
    <row r="11" spans="1:20" ht="13" x14ac:dyDescent="0.15">
      <c r="A11" s="20">
        <v>8201</v>
      </c>
      <c r="B11" s="22" t="str">
        <f>_xlfn.IFNA(VLOOKUP($A11,'Data Sheet'!$A:B,2,FALSE),"NA")</f>
        <v>21/09/2021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New</v>
      </c>
      <c r="E11" s="22" t="str">
        <f>_xlfn.IFNA(VLOOKUP($A11,'Data Sheet'!$A:E,5,FALSE),"NA")</f>
        <v>Male</v>
      </c>
      <c r="F11" s="23" t="str">
        <f>_xlfn.IFNA(VLOOKUP($A11,'Data Sheet'!$A:F,6,FALSE),"NA")</f>
        <v>19/03/2019</v>
      </c>
      <c r="G11" s="26">
        <f>_xlfn.IFNA(VLOOKUP($A11,'Data Sheet'!$A:G,7,FALSE),"NA")</f>
        <v>2</v>
      </c>
      <c r="H11" s="29" t="str">
        <f>_xlfn.IFNA(VLOOKUP($A11,'Data Sheet'!$A:J,10,FALSE),"NA")</f>
        <v>A. Upper Respiratory Tract</v>
      </c>
      <c r="I11" s="29">
        <f>_xlfn.IFNA(VLOOKUP($A11,'Data Sheet'!$A:K,11,FALSE),"NA")</f>
        <v>0</v>
      </c>
      <c r="J11" s="26" t="str">
        <f>_xlfn.IFNA(VLOOKUP($A11,'Data Sheet'!$A:S,19,FALSE),"NA")</f>
        <v>J18.0</v>
      </c>
      <c r="K11" s="29" t="str">
        <f>_xlfn.IFNA(VLOOKUP($A11,'Data Sheet'!$A:T,20,FALSE),"NA")</f>
        <v>Aspiration Pneumonia</v>
      </c>
    </row>
    <row r="12" spans="1:20" ht="13" x14ac:dyDescent="0.15">
      <c r="A12" s="20">
        <v>8199</v>
      </c>
      <c r="B12" s="22" t="str">
        <f>_xlfn.IFNA(VLOOKUP($A12,'Data Sheet'!$A:B,2,FALSE),"NA")</f>
        <v>21/09/2021</v>
      </c>
      <c r="C12" s="22" t="str">
        <f>_xlfn.IFNA(VLOOKUP($A12,'Data Sheet'!$A:C,3,FALSE),"NA")</f>
        <v>pcmc.registry</v>
      </c>
      <c r="D12" s="22" t="str">
        <f>_xlfn.IFNA(VLOOKUP($A12,'Data Sheet'!$A:D,4,FALSE),"NA")</f>
        <v>Old</v>
      </c>
      <c r="E12" s="22" t="str">
        <f>_xlfn.IFNA(VLOOKUP($A12,'Data Sheet'!$A:E,5,FALSE),"NA")</f>
        <v>Male</v>
      </c>
      <c r="F12" s="23" t="str">
        <f>_xlfn.IFNA(VLOOKUP($A12,'Data Sheet'!$A:F,6,FALSE),"NA")</f>
        <v>19/04/2018</v>
      </c>
      <c r="G12" s="26">
        <f>_xlfn.IFNA(VLOOKUP($A12,'Data Sheet'!$A:G,7,FALSE),"NA")</f>
        <v>3</v>
      </c>
      <c r="H12" s="29" t="str">
        <f>_xlfn.IFNA(VLOOKUP($A12,'Data Sheet'!$A:J,10,FALSE),"NA")</f>
        <v>B. Lower Respiratory Tract</v>
      </c>
      <c r="I12" s="29" t="str">
        <f>_xlfn.IFNA(VLOOKUP($A12,'Data Sheet'!$A:K,11,FALSE),"NA")</f>
        <v>1. Pneumonia, community acquired- (PCAP A, B, C or D)</v>
      </c>
      <c r="J12" s="26" t="str">
        <f>_xlfn.IFNA(VLOOKUP($A12,'Data Sheet'!$A:S,19,FALSE),"NA")</f>
        <v>J18.0</v>
      </c>
      <c r="K12" s="29" t="str">
        <f>_xlfn.IFNA(VLOOKUP($A12,'Data Sheet'!$A:T,20,FALSE),"NA")</f>
        <v>PCAP-C</v>
      </c>
    </row>
    <row r="13" spans="1:20" ht="13" x14ac:dyDescent="0.15">
      <c r="A13" s="20">
        <v>8198</v>
      </c>
      <c r="B13" s="22" t="str">
        <f>_xlfn.IFNA(VLOOKUP($A13,'Data Sheet'!$A:B,2,FALSE),"NA")</f>
        <v>21/09/2021</v>
      </c>
      <c r="C13" s="22" t="str">
        <f>_xlfn.IFNA(VLOOKUP($A13,'Data Sheet'!$A:C,3,FALSE),"NA")</f>
        <v>pcmc.registry</v>
      </c>
      <c r="D13" s="22" t="str">
        <f>_xlfn.IFNA(VLOOKUP($A13,'Data Sheet'!$A:D,4,FALSE),"NA")</f>
        <v>New</v>
      </c>
      <c r="E13" s="22" t="str">
        <f>_xlfn.IFNA(VLOOKUP($A13,'Data Sheet'!$A:E,5,FALSE),"NA")</f>
        <v>Male</v>
      </c>
      <c r="F13" s="23" t="str">
        <f>_xlfn.IFNA(VLOOKUP($A13,'Data Sheet'!$A:F,6,FALSE),"NA")</f>
        <v>26/04/2013</v>
      </c>
      <c r="G13" s="26">
        <f>_xlfn.IFNA(VLOOKUP($A13,'Data Sheet'!$A:G,7,FALSE),"NA")</f>
        <v>8</v>
      </c>
      <c r="H13" s="29" t="str">
        <f>_xlfn.IFNA(VLOOKUP($A13,'Data Sheet'!$A:J,10,FALSE),"NA")</f>
        <v>B. Lower Respiratory Tract</v>
      </c>
      <c r="I13" s="29" t="str">
        <f>_xlfn.IFNA(VLOOKUP($A13,'Data Sheet'!$A:K,11,FALSE),"NA")</f>
        <v>1. Pneumonia, community acquired- (PCAP A, B, C or D)</v>
      </c>
      <c r="J13" s="26" t="str">
        <f>_xlfn.IFNA(VLOOKUP($A13,'Data Sheet'!$A:S,19,FALSE),"NA")</f>
        <v>J18.0</v>
      </c>
      <c r="K13" s="29" t="str">
        <f>_xlfn.IFNA(VLOOKUP($A13,'Data Sheet'!$A:T,20,FALSE),"NA")</f>
        <v>PCAP-C</v>
      </c>
    </row>
    <row r="14" spans="1:20" ht="13" x14ac:dyDescent="0.15">
      <c r="A14" s="20">
        <v>8191</v>
      </c>
      <c r="B14" s="22" t="str">
        <f>_xlfn.IFNA(VLOOKUP($A14,'Data Sheet'!$A:B,2,FALSE),"NA")</f>
        <v>21/09/2021</v>
      </c>
      <c r="C14" s="22" t="str">
        <f>_xlfn.IFNA(VLOOKUP($A14,'Data Sheet'!$A:C,3,FALSE),"NA")</f>
        <v>pcmc.registry</v>
      </c>
      <c r="D14" s="22" t="str">
        <f>_xlfn.IFNA(VLOOKUP($A14,'Data Sheet'!$A:D,4,FALSE),"NA")</f>
        <v>New</v>
      </c>
      <c r="E14" s="22" t="str">
        <f>_xlfn.IFNA(VLOOKUP($A14,'Data Sheet'!$A:E,5,FALSE),"NA")</f>
        <v>Female</v>
      </c>
      <c r="F14" s="23" t="str">
        <f>_xlfn.IFNA(VLOOKUP($A14,'Data Sheet'!$A:F,6,FALSE),"NA")</f>
        <v>19/10/2018</v>
      </c>
      <c r="G14" s="26">
        <f>_xlfn.IFNA(VLOOKUP($A14,'Data Sheet'!$A:G,7,FALSE),"NA")</f>
        <v>2</v>
      </c>
      <c r="H14" s="29" t="str">
        <f>_xlfn.IFNA(VLOOKUP($A14,'Data Sheet'!$A:J,10,FALSE),"NA")</f>
        <v>B. Lower Respiratory Tract</v>
      </c>
      <c r="I14" s="29" t="str">
        <f>_xlfn.IFNA(VLOOKUP($A14,'Data Sheet'!$A:K,11,FALSE),"NA")</f>
        <v>1. Pneumonia, community acquired- (PCAP A, B, C or D)</v>
      </c>
      <c r="J14" s="26" t="str">
        <f>_xlfn.IFNA(VLOOKUP($A14,'Data Sheet'!$A:S,19,FALSE),"NA")</f>
        <v>J18.0</v>
      </c>
      <c r="K14" s="29" t="str">
        <f>_xlfn.IFNA(VLOOKUP($A14,'Data Sheet'!$A:T,20,FALSE),"NA")</f>
        <v>PCAP-D</v>
      </c>
    </row>
    <row r="15" spans="1:20" ht="13" x14ac:dyDescent="0.15">
      <c r="A15" s="20">
        <v>8154</v>
      </c>
      <c r="B15" s="22" t="str">
        <f>_xlfn.IFNA(VLOOKUP($A15,'Data Sheet'!$A:B,2,FALSE),"NA")</f>
        <v>21/09/2021</v>
      </c>
      <c r="C15" s="22" t="str">
        <f>_xlfn.IFNA(VLOOKUP($A15,'Data Sheet'!$A:C,3,FALSE),"NA")</f>
        <v>pcmc.registry</v>
      </c>
      <c r="D15" s="22" t="str">
        <f>_xlfn.IFNA(VLOOKUP($A15,'Data Sheet'!$A:D,4,FALSE),"NA")</f>
        <v>Old</v>
      </c>
      <c r="E15" s="22" t="str">
        <f>_xlfn.IFNA(VLOOKUP($A15,'Data Sheet'!$A:E,5,FALSE),"NA")</f>
        <v>Male</v>
      </c>
      <c r="F15" s="23" t="str">
        <f>_xlfn.IFNA(VLOOKUP($A15,'Data Sheet'!$A:F,6,FALSE),"NA")</f>
        <v>20/03/2018</v>
      </c>
      <c r="G15" s="26">
        <f>_xlfn.IFNA(VLOOKUP($A15,'Data Sheet'!$A:G,7,FALSE),"NA")</f>
        <v>3</v>
      </c>
      <c r="H15" s="29" t="str">
        <f>_xlfn.IFNA(VLOOKUP($A15,'Data Sheet'!$A:J,10,FALSE),"NA")</f>
        <v>B. Lower Respiratory Tract</v>
      </c>
      <c r="I15" s="29" t="str">
        <f>_xlfn.IFNA(VLOOKUP($A15,'Data Sheet'!$A:K,11,FALSE),"NA")</f>
        <v>5. Recurrent or Persistent Pneumonia</v>
      </c>
      <c r="J15" s="26" t="str">
        <f>_xlfn.IFNA(VLOOKUP($A15,'Data Sheet'!$A:S,19,FALSE),"NA")</f>
        <v>Z87.01</v>
      </c>
      <c r="K15" s="29" t="str">
        <f>_xlfn.IFNA(VLOOKUP($A15,'Data Sheet'!$A:T,20,FALSE),"NA")</f>
        <v>Recurrent Pneumonia sec to CHD</v>
      </c>
    </row>
    <row r="16" spans="1:20" ht="13" x14ac:dyDescent="0.15">
      <c r="A16" s="20">
        <v>8137</v>
      </c>
      <c r="B16" s="22" t="str">
        <f>_xlfn.IFNA(VLOOKUP($A16,'Data Sheet'!$A:B,2,FALSE),"NA")</f>
        <v>21/09/2021</v>
      </c>
      <c r="C16" s="22" t="str">
        <f>_xlfn.IFNA(VLOOKUP($A16,'Data Sheet'!$A:C,3,FALSE),"NA")</f>
        <v>pcmc.registry</v>
      </c>
      <c r="D16" s="22" t="str">
        <f>_xlfn.IFNA(VLOOKUP($A16,'Data Sheet'!$A:D,4,FALSE),"NA")</f>
        <v>New</v>
      </c>
      <c r="E16" s="22" t="str">
        <f>_xlfn.IFNA(VLOOKUP($A16,'Data Sheet'!$A:E,5,FALSE),"NA")</f>
        <v>Male</v>
      </c>
      <c r="F16" s="23" t="str">
        <f>_xlfn.IFNA(VLOOKUP($A16,'Data Sheet'!$A:F,6,FALSE),"NA")</f>
        <v>22/01/2018</v>
      </c>
      <c r="G16" s="26">
        <f>_xlfn.IFNA(VLOOKUP($A16,'Data Sheet'!$A:G,7,FALSE),"NA")</f>
        <v>3</v>
      </c>
      <c r="H16" s="29" t="str">
        <f>_xlfn.IFNA(VLOOKUP($A16,'Data Sheet'!$A:J,10,FALSE),"NA")</f>
        <v>B. Lower Respiratory Tract</v>
      </c>
      <c r="I16" s="29" t="str">
        <f>_xlfn.IFNA(VLOOKUP($A16,'Data Sheet'!$A:K,11,FALSE),"NA")</f>
        <v>2. Health Care Associated pneumonia</v>
      </c>
      <c r="J16" s="26" t="str">
        <f>_xlfn.IFNA(VLOOKUP($A16,'Data Sheet'!$A:S,19,FALSE),"NA")</f>
        <v>J18.0</v>
      </c>
      <c r="K16" s="29" t="str">
        <f>_xlfn.IFNA(VLOOKUP($A16,'Data Sheet'!$A:T,20,FALSE),"NA")</f>
        <v>Health Care Associated Pneumonia</v>
      </c>
    </row>
    <row r="17" spans="1:11" ht="13" x14ac:dyDescent="0.15">
      <c r="A17" s="20">
        <v>8131</v>
      </c>
      <c r="B17" s="22" t="str">
        <f>_xlfn.IFNA(VLOOKUP($A17,'Data Sheet'!$A:B,2,FALSE),"NA")</f>
        <v>21/09/2021</v>
      </c>
      <c r="C17" s="22" t="str">
        <f>_xlfn.IFNA(VLOOKUP($A17,'Data Sheet'!$A:C,3,FALSE),"NA")</f>
        <v>pcmc.registry</v>
      </c>
      <c r="D17" s="22" t="str">
        <f>_xlfn.IFNA(VLOOKUP($A17,'Data Sheet'!$A:D,4,FALSE),"NA")</f>
        <v>New</v>
      </c>
      <c r="E17" s="22" t="str">
        <f>_xlfn.IFNA(VLOOKUP($A17,'Data Sheet'!$A:E,5,FALSE),"NA")</f>
        <v>Male</v>
      </c>
      <c r="F17" s="23" t="str">
        <f>_xlfn.IFNA(VLOOKUP($A17,'Data Sheet'!$A:F,6,FALSE),"NA")</f>
        <v>13/07/2002</v>
      </c>
      <c r="G17" s="26">
        <f>_xlfn.IFNA(VLOOKUP($A17,'Data Sheet'!$A:G,7,FALSE),"NA")</f>
        <v>19</v>
      </c>
      <c r="H17" s="29" t="str">
        <f>_xlfn.IFNA(VLOOKUP($A17,'Data Sheet'!$A:J,10,FALSE),"NA")</f>
        <v>B. Lower Respiratory Tract</v>
      </c>
      <c r="I17" s="29" t="str">
        <f>_xlfn.IFNA(VLOOKUP($A17,'Data Sheet'!$A:K,11,FALSE),"NA")</f>
        <v>1. Pneumonia, community acquired- (PCAP A, B, C or D)</v>
      </c>
      <c r="J17" s="26" t="str">
        <f>_xlfn.IFNA(VLOOKUP($A17,'Data Sheet'!$A:S,19,FALSE),"NA")</f>
        <v>J18.0</v>
      </c>
      <c r="K17" s="29" t="str">
        <f>_xlfn.IFNA(VLOOKUP($A17,'Data Sheet'!$A:T,20,FALSE),"NA")</f>
        <v>PCAP-C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8">_xlfn._xlws.FILTER('Data Sheet'!A:A,'Data Sheet'!H:H=A2,"NA")</f>
        <v>8193</v>
      </c>
      <c r="B4" s="21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16/12/2002</v>
      </c>
      <c r="G4" s="24">
        <f>_xlfn.IFNA(VLOOKUP($A4,'Data Sheet'!$A:G,7,FALSE),"NA")</f>
        <v>18</v>
      </c>
      <c r="H4" s="25" t="str">
        <f>_xlfn.IFNA(VLOOKUP($A4,'Data Sheet'!$A:L,12,FALSE),"NA")</f>
        <v>B. Pneumothorax- including primary spontaneous and those with secondary causes</v>
      </c>
      <c r="I4" s="24" t="str">
        <f>_xlfn.IFNA(VLOOKUP($A4,'Data Sheet'!$A:S,19,FALSE),"NA")</f>
        <v>J93</v>
      </c>
      <c r="J4" s="25" t="str">
        <f>_xlfn.IFNA(VLOOKUP($A4,'Data Sheet'!$A:T,20,FALSE),"NA")</f>
        <v>Spontaneous pneumothorax</v>
      </c>
    </row>
    <row r="5" spans="1:19" ht="13" x14ac:dyDescent="0.15">
      <c r="A5" s="20">
        <v>8190</v>
      </c>
      <c r="B5" s="21" t="str">
        <f>_xlfn.IFNA(VLOOKUP($A5,'Data Sheet'!$A:B,2,FALSE),"NA")</f>
        <v>21/09/2021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07/09/2012</v>
      </c>
      <c r="G5" s="26">
        <f>_xlfn.IFNA(VLOOKUP($A5,'Data Sheet'!$A:G,7,FALSE),"NA")</f>
        <v>9</v>
      </c>
      <c r="H5" s="29" t="str">
        <f>_xlfn.IFNA(VLOOKUP($A5,'Data Sheet'!$A:L,12,FALSE),"NA")</f>
        <v>A. Pleural effusion</v>
      </c>
      <c r="I5" s="26" t="str">
        <f>_xlfn.IFNA(VLOOKUP($A5,'Data Sheet'!$A:S,19,FALSE),"NA")</f>
        <v>J91</v>
      </c>
      <c r="J5" s="29" t="str">
        <f>_xlfn.IFNA(VLOOKUP($A5,'Data Sheet'!$A:T,20,FALSE),"NA")</f>
        <v>Malignant pleural effusion,right</v>
      </c>
    </row>
    <row r="6" spans="1:19" ht="13" x14ac:dyDescent="0.15">
      <c r="A6" s="20">
        <v>8187</v>
      </c>
      <c r="B6" s="21" t="str">
        <f>_xlfn.IFNA(VLOOKUP($A6,'Data Sheet'!$A:B,2,FALSE),"NA")</f>
        <v>21/09/2021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Female</v>
      </c>
      <c r="F6" s="23" t="str">
        <f>_xlfn.IFNA(VLOOKUP($A6,'Data Sheet'!$A:F,6,FALSE),"NA")</f>
        <v>09/05/2019</v>
      </c>
      <c r="G6" s="26">
        <f>_xlfn.IFNA(VLOOKUP($A6,'Data Sheet'!$A:G,7,FALSE),"NA")</f>
        <v>2</v>
      </c>
      <c r="H6" s="29" t="str">
        <f>_xlfn.IFNA(VLOOKUP($A6,'Data Sheet'!$A:L,12,FALSE),"NA")</f>
        <v>B. Pneumothorax- including primary spontaneous and those with secondary causes</v>
      </c>
      <c r="I6" s="26" t="str">
        <f>_xlfn.IFNA(VLOOKUP($A6,'Data Sheet'!$A:S,19,FALSE),"NA")</f>
        <v>J93</v>
      </c>
      <c r="J6" s="29" t="str">
        <f>_xlfn.IFNA(VLOOKUP($A6,'Data Sheet'!$A:T,20,FALSE),"NA")</f>
        <v>Pneumothorax right</v>
      </c>
    </row>
    <row r="7" spans="1:19" ht="13" x14ac:dyDescent="0.15">
      <c r="A7" s="20">
        <v>8156</v>
      </c>
      <c r="B7" s="21" t="str">
        <f>_xlfn.IFNA(VLOOKUP($A7,'Data Sheet'!$A:B,2,FALSE),"NA")</f>
        <v>21/09/2021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23/05/2003</v>
      </c>
      <c r="G7" s="26">
        <f>_xlfn.IFNA(VLOOKUP($A7,'Data Sheet'!$A:G,7,FALSE),"NA")</f>
        <v>18</v>
      </c>
      <c r="H7" s="29" t="str">
        <f>_xlfn.IFNA(VLOOKUP($A7,'Data Sheet'!$A:L,12,FALSE),"NA")</f>
        <v>A. Pleural effusion</v>
      </c>
      <c r="I7" s="26" t="str">
        <f>_xlfn.IFNA(VLOOKUP($A7,'Data Sheet'!$A:S,19,FALSE),"NA")</f>
        <v>J91.0</v>
      </c>
      <c r="J7" s="29" t="str">
        <f>_xlfn.IFNA(VLOOKUP($A7,'Data Sheet'!$A:T,20,FALSE),"NA")</f>
        <v>Malignant pleural effusion</v>
      </c>
    </row>
    <row r="8" spans="1:19" ht="13" x14ac:dyDescent="0.15">
      <c r="A8" s="20">
        <v>8110</v>
      </c>
      <c r="B8" s="21" t="str">
        <f>_xlfn.IFNA(VLOOKUP($A8,'Data Sheet'!$A:B,2,FALSE),"NA")</f>
        <v>21/09/2021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01/10/2017</v>
      </c>
      <c r="G8" s="26">
        <f>_xlfn.IFNA(VLOOKUP($A8,'Data Sheet'!$A:G,7,FALSE),"NA")</f>
        <v>3</v>
      </c>
      <c r="H8" s="29" t="str">
        <f>_xlfn.IFNA(VLOOKUP($A8,'Data Sheet'!$A:L,12,FALSE),"NA")</f>
        <v>B. Pneumothorax- including primary spontaneous and those with secondary causes</v>
      </c>
      <c r="I8" s="26" t="str">
        <f>_xlfn.IFNA(VLOOKUP($A8,'Data Sheet'!$A:S,19,FALSE),"NA")</f>
        <v>J93</v>
      </c>
      <c r="J8" s="29" t="str">
        <f>_xlfn.IFNA(VLOOKUP($A8,'Data Sheet'!$A:T,20,FALSE),"NA")</f>
        <v>Pyopneumothorax(MSSA)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2">_xlfn._xlws.FILTER('Data Sheet'!A:A,'Data Sheet'!H:H=A2,"NA")</f>
        <v>8210</v>
      </c>
      <c r="B4" s="21" t="str">
        <f>_xlfn.IFNA(VLOOKUP($A4,'Data Sheet'!$A:B,2,FALSE),"NA")</f>
        <v>21/09/2021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02/08/2007</v>
      </c>
      <c r="G4" s="24">
        <f>_xlfn.IFNA(VLOOKUP($A4,'Data Sheet'!$A:G,7,FALSE),"NA")</f>
        <v>14</v>
      </c>
      <c r="H4" s="29" t="str">
        <f>_xlfn.IFNA(VLOOKUP($A4,'Data Sheet'!$A:N,14,FALSE),"NA")</f>
        <v>C. Tumors of the Chest &amp; Lungs</v>
      </c>
      <c r="I4" s="29" t="str">
        <f>_xlfn.IFNA(VLOOKUP($A4,'Data Sheet'!$A:O,15,FALSE),"NA")</f>
        <v>2. Malignant</v>
      </c>
      <c r="J4" s="24" t="str">
        <f>_xlfn.IFNA(VLOOKUP($A4,'Data Sheet'!$A:S,19,FALSE),"NA")</f>
        <v>C38.2</v>
      </c>
      <c r="K4" s="25" t="str">
        <f>_xlfn.IFNA(VLOOKUP($A4,'Data Sheet'!$A:T,20,FALSE),"NA")</f>
        <v>Posterior mediastinal mass pro sec to Neuroblastoma</v>
      </c>
    </row>
    <row r="5" spans="1:20" ht="13" x14ac:dyDescent="0.15">
      <c r="A5" s="20">
        <v>8200</v>
      </c>
      <c r="B5" s="21" t="str">
        <f>_xlfn.IFNA(VLOOKUP($A5,'Data Sheet'!$A:B,2,FALSE),"NA")</f>
        <v>21/09/2021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12/04/2010</v>
      </c>
      <c r="G5" s="26">
        <f>_xlfn.IFNA(VLOOKUP($A5,'Data Sheet'!$A:G,7,FALSE),"NA")</f>
        <v>11</v>
      </c>
      <c r="H5" s="29" t="str">
        <f>_xlfn.IFNA(VLOOKUP($A5,'Data Sheet'!$A:N,14,FALSE),"NA")</f>
        <v>B. Acute Respiratory Distress Syndrome (ARDS)</v>
      </c>
      <c r="I5" s="29">
        <f>_xlfn.IFNA(VLOOKUP($A5,'Data Sheet'!$A:O,15,FALSE),"NA")</f>
        <v>0</v>
      </c>
      <c r="J5" s="26" t="str">
        <f>_xlfn.IFNA(VLOOKUP($A5,'Data Sheet'!$A:S,19,FALSE),"NA")</f>
        <v>J80</v>
      </c>
      <c r="K5" s="29" t="str">
        <f>_xlfn.IFNA(VLOOKUP($A5,'Data Sheet'!$A:T,20,FALSE),"NA")</f>
        <v>Acute Respiratory Distress Syndrome</v>
      </c>
    </row>
    <row r="6" spans="1:20" ht="13" x14ac:dyDescent="0.15">
      <c r="A6" s="20">
        <v>8196</v>
      </c>
      <c r="B6" s="21" t="str">
        <f>_xlfn.IFNA(VLOOKUP($A6,'Data Sheet'!$A:B,2,FALSE),"NA")</f>
        <v>21/09/2021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09/10/2012</v>
      </c>
      <c r="G6" s="26">
        <f>_xlfn.IFNA(VLOOKUP($A6,'Data Sheet'!$A:G,7,FALSE),"NA")</f>
        <v>8</v>
      </c>
      <c r="H6" s="29" t="str">
        <f>_xlfn.IFNA(VLOOKUP($A6,'Data Sheet'!$A:N,14,FALSE),"NA")</f>
        <v>A. Bronchial Asthma</v>
      </c>
      <c r="I6" s="29">
        <f>_xlfn.IFNA(VLOOKUP($A6,'Data Sheet'!$A:O,15,FALSE),"NA")</f>
        <v>0</v>
      </c>
      <c r="J6" s="26" t="str">
        <f>_xlfn.IFNA(VLOOKUP($A6,'Data Sheet'!$A:S,19,FALSE),"NA")</f>
        <v>J45</v>
      </c>
      <c r="K6" s="29" t="str">
        <f>_xlfn.IFNA(VLOOKUP($A6,'Data Sheet'!$A:T,20,FALSE),"NA")</f>
        <v>Bronchial asthma</v>
      </c>
    </row>
    <row r="7" spans="1:20" ht="13" x14ac:dyDescent="0.15">
      <c r="A7" s="20">
        <v>8195</v>
      </c>
      <c r="B7" s="21" t="str">
        <f>_xlfn.IFNA(VLOOKUP($A7,'Data Sheet'!$A:B,2,FALSE),"NA")</f>
        <v>21/09/2021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12/12/2009</v>
      </c>
      <c r="G7" s="26">
        <f>_xlfn.IFNA(VLOOKUP($A7,'Data Sheet'!$A:G,7,FALSE),"NA")</f>
        <v>11</v>
      </c>
      <c r="H7" s="29" t="str">
        <f>_xlfn.IFNA(VLOOKUP($A7,'Data Sheet'!$A:N,14,FALSE),"NA")</f>
        <v>A. Bronchial Asthma</v>
      </c>
      <c r="I7" s="29">
        <f>_xlfn.IFNA(VLOOKUP($A7,'Data Sheet'!$A:O,15,FALSE),"NA")</f>
        <v>0</v>
      </c>
      <c r="J7" s="26" t="str">
        <f>_xlfn.IFNA(VLOOKUP($A7,'Data Sheet'!$A:S,19,FALSE),"NA")</f>
        <v>J45</v>
      </c>
      <c r="K7" s="29" t="str">
        <f>_xlfn.IFNA(VLOOKUP($A7,'Data Sheet'!$A:T,20,FALSE),"NA")</f>
        <v>Bronchial Asthma</v>
      </c>
    </row>
    <row r="8" spans="1:20" ht="13" x14ac:dyDescent="0.15">
      <c r="A8" s="20">
        <v>8155</v>
      </c>
      <c r="B8" s="21" t="str">
        <f>_xlfn.IFNA(VLOOKUP($A8,'Data Sheet'!$A:B,2,FALSE),"NA")</f>
        <v>21/09/2021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29/09/2015</v>
      </c>
      <c r="G8" s="26">
        <f>_xlfn.IFNA(VLOOKUP($A8,'Data Sheet'!$A:G,7,FALSE),"NA")</f>
        <v>5</v>
      </c>
      <c r="H8" s="29" t="str">
        <f>_xlfn.IFNA(VLOOKUP($A8,'Data Sheet'!$A:N,14,FALSE),"NA")</f>
        <v>A. Bronchial Asthma</v>
      </c>
      <c r="I8" s="29">
        <f>_xlfn.IFNA(VLOOKUP($A8,'Data Sheet'!$A:O,15,FALSE),"NA")</f>
        <v>0</v>
      </c>
      <c r="J8" s="26" t="str">
        <f>_xlfn.IFNA(VLOOKUP($A8,'Data Sheet'!$A:S,19,FALSE),"NA")</f>
        <v>J45</v>
      </c>
      <c r="K8" s="29" t="str">
        <f>_xlfn.IFNA(VLOOKUP($A8,'Data Sheet'!$A:T,20,FALSE),"NA")</f>
        <v>Bronchial Asthma</v>
      </c>
    </row>
    <row r="9" spans="1:20" ht="13" x14ac:dyDescent="0.15">
      <c r="A9" s="20">
        <v>8153</v>
      </c>
      <c r="B9" s="21" t="str">
        <f>_xlfn.IFNA(VLOOKUP($A9,'Data Sheet'!$A:B,2,FALSE),"NA")</f>
        <v>21/09/2021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Female</v>
      </c>
      <c r="F9" s="23" t="str">
        <f>_xlfn.IFNA(VLOOKUP($A9,'Data Sheet'!$A:F,6,FALSE),"NA")</f>
        <v>24/08/2007</v>
      </c>
      <c r="G9" s="26">
        <f>_xlfn.IFNA(VLOOKUP($A9,'Data Sheet'!$A:G,7,FALSE),"NA")</f>
        <v>14</v>
      </c>
      <c r="H9" s="29" t="str">
        <f>_xlfn.IFNA(VLOOKUP($A9,'Data Sheet'!$A:N,14,FALSE),"NA")</f>
        <v>A. Bronchial Asthma</v>
      </c>
      <c r="I9" s="29">
        <f>_xlfn.IFNA(VLOOKUP($A9,'Data Sheet'!$A:O,15,FALSE),"NA")</f>
        <v>0</v>
      </c>
      <c r="J9" s="26" t="str">
        <f>_xlfn.IFNA(VLOOKUP($A9,'Data Sheet'!$A:S,19,FALSE),"NA")</f>
        <v>J45</v>
      </c>
      <c r="K9" s="29" t="str">
        <f>_xlfn.IFNA(VLOOKUP($A9,'Data Sheet'!$A:T,20,FALSE),"NA")</f>
        <v>Bronchial Asthma</v>
      </c>
    </row>
    <row r="10" spans="1:20" ht="13" x14ac:dyDescent="0.15">
      <c r="A10" s="20">
        <v>8151</v>
      </c>
      <c r="B10" s="21" t="str">
        <f>_xlfn.IFNA(VLOOKUP($A10,'Data Sheet'!$A:B,2,FALSE),"NA")</f>
        <v>21/09/2021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New</v>
      </c>
      <c r="E10" s="22" t="str">
        <f>_xlfn.IFNA(VLOOKUP($A10,'Data Sheet'!$A:E,5,FALSE),"NA")</f>
        <v>Male</v>
      </c>
      <c r="F10" s="23" t="str">
        <f>_xlfn.IFNA(VLOOKUP($A10,'Data Sheet'!$A:F,6,FALSE),"NA")</f>
        <v>13/08/2012</v>
      </c>
      <c r="G10" s="26">
        <f>_xlfn.IFNA(VLOOKUP($A10,'Data Sheet'!$A:G,7,FALSE),"NA")</f>
        <v>9</v>
      </c>
      <c r="H10" s="29" t="str">
        <f>_xlfn.IFNA(VLOOKUP($A10,'Data Sheet'!$A:N,14,FALSE),"NA")</f>
        <v>A. Bronchial Asthma</v>
      </c>
      <c r="I10" s="29">
        <f>_xlfn.IFNA(VLOOKUP($A10,'Data Sheet'!$A:O,15,FALSE),"NA")</f>
        <v>0</v>
      </c>
      <c r="J10" s="26" t="str">
        <f>_xlfn.IFNA(VLOOKUP($A10,'Data Sheet'!$A:S,19,FALSE),"NA")</f>
        <v>J45</v>
      </c>
      <c r="K10" s="29" t="str">
        <f>_xlfn.IFNA(VLOOKUP($A10,'Data Sheet'!$A:T,20,FALSE),"NA")</f>
        <v>Bronchial Asthma</v>
      </c>
    </row>
    <row r="11" spans="1:20" ht="13" x14ac:dyDescent="0.15">
      <c r="A11" s="20">
        <v>8135</v>
      </c>
      <c r="B11" s="21" t="str">
        <f>_xlfn.IFNA(VLOOKUP($A11,'Data Sheet'!$A:B,2,FALSE),"NA")</f>
        <v>21/09/2021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New</v>
      </c>
      <c r="E11" s="22" t="str">
        <f>_xlfn.IFNA(VLOOKUP($A11,'Data Sheet'!$A:E,5,FALSE),"NA")</f>
        <v>Female</v>
      </c>
      <c r="F11" s="23" t="str">
        <f>_xlfn.IFNA(VLOOKUP($A11,'Data Sheet'!$A:F,6,FALSE),"NA")</f>
        <v>21/09/2016</v>
      </c>
      <c r="G11" s="26">
        <f>_xlfn.IFNA(VLOOKUP($A11,'Data Sheet'!$A:G,7,FALSE),"NA")</f>
        <v>4</v>
      </c>
      <c r="H11" s="29" t="str">
        <f>_xlfn.IFNA(VLOOKUP($A11,'Data Sheet'!$A:N,14,FALSE),"NA")</f>
        <v>A. Bronchial Asthma</v>
      </c>
      <c r="I11" s="29">
        <f>_xlfn.IFNA(VLOOKUP($A11,'Data Sheet'!$A:O,15,FALSE),"NA")</f>
        <v>0</v>
      </c>
      <c r="J11" s="26" t="str">
        <f>_xlfn.IFNA(VLOOKUP($A11,'Data Sheet'!$A:S,19,FALSE),"NA")</f>
        <v>J45</v>
      </c>
      <c r="K11" s="29" t="str">
        <f>_xlfn.IFNA(VLOOKUP($A11,'Data Sheet'!$A:T,20,FALSE),"NA")</f>
        <v>Bronchial Asthma</v>
      </c>
    </row>
    <row r="12" spans="1:20" ht="13" x14ac:dyDescent="0.15">
      <c r="A12" s="20">
        <v>8134</v>
      </c>
      <c r="B12" s="21" t="str">
        <f>_xlfn.IFNA(VLOOKUP($A12,'Data Sheet'!$A:B,2,FALSE),"NA")</f>
        <v>21/09/2021</v>
      </c>
      <c r="C12" s="22" t="str">
        <f>_xlfn.IFNA(VLOOKUP($A12,'Data Sheet'!$A:C,3,FALSE),"NA")</f>
        <v>pcmc.registry</v>
      </c>
      <c r="D12" s="22" t="str">
        <f>_xlfn.IFNA(VLOOKUP($A12,'Data Sheet'!$A:D,4,FALSE),"NA")</f>
        <v>New</v>
      </c>
      <c r="E12" s="22" t="str">
        <f>_xlfn.IFNA(VLOOKUP($A12,'Data Sheet'!$A:E,5,FALSE),"NA")</f>
        <v>Male</v>
      </c>
      <c r="F12" s="23" t="str">
        <f>_xlfn.IFNA(VLOOKUP($A12,'Data Sheet'!$A:F,6,FALSE),"NA")</f>
        <v>17/06/2018</v>
      </c>
      <c r="G12" s="26">
        <f>_xlfn.IFNA(VLOOKUP($A12,'Data Sheet'!$A:G,7,FALSE),"NA")</f>
        <v>3</v>
      </c>
      <c r="H12" s="29" t="str">
        <f>_xlfn.IFNA(VLOOKUP($A12,'Data Sheet'!$A:N,14,FALSE),"NA")</f>
        <v>A. Bronchial Asthma</v>
      </c>
      <c r="I12" s="29">
        <f>_xlfn.IFNA(VLOOKUP($A12,'Data Sheet'!$A:O,15,FALSE),"NA")</f>
        <v>0</v>
      </c>
      <c r="J12" s="26" t="str">
        <f>_xlfn.IFNA(VLOOKUP($A12,'Data Sheet'!$A:S,19,FALSE),"NA")</f>
        <v>J45</v>
      </c>
      <c r="K12" s="29" t="str">
        <f>_xlfn.IFNA(VLOOKUP($A12,'Data Sheet'!$A:T,20,FALSE),"NA")</f>
        <v>Bronchial Asthma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Claire Sarmiento</cp:lastModifiedBy>
  <dcterms:created xsi:type="dcterms:W3CDTF">2021-09-20T22:49:34Z</dcterms:created>
  <dcterms:modified xsi:type="dcterms:W3CDTF">2021-09-20T22:49:35Z</dcterms:modified>
</cp:coreProperties>
</file>