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/>
  <mc:AlternateContent xmlns:mc="http://schemas.openxmlformats.org/markup-compatibility/2006">
    <mc:Choice Requires="x15">
      <x15ac:absPath xmlns:x15ac="http://schemas.microsoft.com/office/spreadsheetml/2010/11/ac" url="/Users/clairesarmiento/Documents/"/>
    </mc:Choice>
  </mc:AlternateContent>
  <xr:revisionPtr revIDLastSave="0" documentId="8_{EA434029-EF24-1A47-981C-965793AF6CAB}" xr6:coauthVersionLast="47" xr6:coauthVersionMax="47" xr10:uidLastSave="{00000000-0000-0000-0000-000000000000}"/>
  <bookViews>
    <workbookView xWindow="3860" yWindow="262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4" i="3" s="1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<sst xmlns="http://schemas.openxmlformats.org/spreadsheetml/2006/main" count="523" uniqueCount="158">
  <si>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</si>
  <si>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</si>
  <si>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</si>
  <si>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</si>
  <si>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</si>
  <si>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</si>
  <si>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</si>
  <si>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</si>
  <si>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</si>
  <si>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</si>
  <si>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</si>
  <si>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</si>
  <si>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</si>
  <si>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</si>
  <si>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</si>
  <si>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</si>
  <si>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</si>
  <si>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</si>
  <si>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</si>
  <si>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</si>
  <si>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</si>
  <si>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</si>
  <si>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</si>
  <si>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</si>
  <si>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</si>
  <si>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</si>
  <si>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</si>
  <si>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</si>
  <si>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</si>
  <si>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</si>
  <si>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</si>
  <si>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</si>
  <si>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</si>
  <si>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</si>
  <si>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</si>
  <si>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</si>
  <si>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18/09/2021</t>
  </si>
  <si>
    <t>pcmc.registry</t>
  </si>
  <si>
    <t>New</t>
  </si>
  <si>
    <t>Male</t>
  </si>
  <si>
    <t>07/06/2020</t>
  </si>
  <si>
    <t>B. Lower Respiratory Tract</t>
  </si>
  <si>
    <t>2. Health Care Associated pneumonia</t>
  </si>
  <si>
    <t>J18.0</t>
  </si>
  <si>
    <t>Health Care Associated Pneumonia</t>
  </si>
  <si>
    <t>Female</t>
  </si>
  <si>
    <t>05/05/2003</t>
  </si>
  <si>
    <t>1. Pneumonia, community acquired- (PCAP A, B, C or D)</t>
  </si>
  <si>
    <t>PCAP B</t>
  </si>
  <si>
    <t>Old</t>
  </si>
  <si>
    <t>13/08/2005</t>
  </si>
  <si>
    <t>9. Extrapulmonary Tuberculosis</t>
  </si>
  <si>
    <t>A16. 5</t>
  </si>
  <si>
    <t>Disseminated TB (skin and lungs)</t>
  </si>
  <si>
    <t>11/11/2013</t>
  </si>
  <si>
    <t>Consolidation, Left Lung probably PTB versus pneumonia</t>
  </si>
  <si>
    <t>25/10/2011</t>
  </si>
  <si>
    <t>J18. 9</t>
  </si>
  <si>
    <t>01/07/2019</t>
  </si>
  <si>
    <t>E. Other diseases not specified</t>
  </si>
  <si>
    <t>B44.0</t>
  </si>
  <si>
    <t>Invasive Aspergilloma,right upper lobe</t>
  </si>
  <si>
    <t>02/08/2020</t>
  </si>
  <si>
    <t>D. Laryngeal, Tracheal and Esophageal Deformities</t>
  </si>
  <si>
    <t>Q31.5</t>
  </si>
  <si>
    <t>Upepr airway obstruction to laryngomalacia</t>
  </si>
  <si>
    <t>23/06/2011</t>
  </si>
  <si>
    <t>J98.11</t>
  </si>
  <si>
    <t>Atelectasis left probably secondary to mucus plug</t>
  </si>
  <si>
    <t>05/05/2002</t>
  </si>
  <si>
    <t xml:space="preserve"> J43.9</t>
  </si>
  <si>
    <t>Subpleural Bleb, apical segment, Right upper lobe</t>
  </si>
  <si>
    <t>17/09/2021</t>
  </si>
  <si>
    <t>22/11/2008</t>
  </si>
  <si>
    <t>D14.1</t>
  </si>
  <si>
    <t>Upper airway obstruction secondary to Laryngeal Papilloma</t>
  </si>
  <si>
    <t>02/05/2002</t>
  </si>
  <si>
    <t>A. Pleural effusion</t>
  </si>
  <si>
    <t>2. Non- Infectious</t>
  </si>
  <si>
    <t>J91.0</t>
  </si>
  <si>
    <t>Malignant Plerural effusion versus metastasis, left lung</t>
  </si>
  <si>
    <t>09/09/2021</t>
  </si>
  <si>
    <t>B. Thoracic Wall Deformities</t>
  </si>
  <si>
    <t>M41.9</t>
  </si>
  <si>
    <t>Restrictive lung disease secondary to scoliosis</t>
  </si>
  <si>
    <t>13/09/2020</t>
  </si>
  <si>
    <t>F. Pulmonary or Lung Parenchymal Deformities</t>
  </si>
  <si>
    <t>Q33.0</t>
  </si>
  <si>
    <t>Cystic Lucency, left upper lobe, probably Congenital Thoracic Malformation</t>
  </si>
  <si>
    <t>10/05/2018</t>
  </si>
  <si>
    <t>P26.1</t>
  </si>
  <si>
    <t>Pulmonary hemorrhage sec Acute Leukemia</t>
  </si>
  <si>
    <t>13/05/2020</t>
  </si>
  <si>
    <t>J12.9</t>
  </si>
  <si>
    <t>Covid Pneumonia</t>
  </si>
  <si>
    <t>13/03/2020</t>
  </si>
  <si>
    <t>1. Infectious-parapneumonic, effusion, TB effusion</t>
  </si>
  <si>
    <t>J90</t>
  </si>
  <si>
    <t>Empyema Thoracis, right (MRSA)</t>
  </si>
  <si>
    <t>03/09/2020</t>
  </si>
  <si>
    <t>J91</t>
  </si>
  <si>
    <t>Pleural Effusion left, probably transudative Congenital Heart Disease</t>
  </si>
  <si>
    <t>03/11/2006</t>
  </si>
  <si>
    <t>B. Pneumothorax- including primary spontaneous and those with secondary causes</t>
  </si>
  <si>
    <t>J93</t>
  </si>
  <si>
    <t>Secondary Pneumothorax, tension Rhabdomyosarcoma</t>
  </si>
  <si>
    <t>23/05/2020</t>
  </si>
  <si>
    <t>A. Upper Airway</t>
  </si>
  <si>
    <t>Q32.0</t>
  </si>
  <si>
    <t>Tracheomalacia</t>
  </si>
  <si>
    <t>25/11/2019</t>
  </si>
  <si>
    <t>Recurrent Pneumonia secondary to Aspiration secondary to Gastroesophageal Reflux</t>
  </si>
  <si>
    <t>01/06/2015</t>
  </si>
  <si>
    <t>Atelectasis Right Upper Lobe probably secondary to mucus plug</t>
  </si>
  <si>
    <t>08/05/2020</t>
  </si>
  <si>
    <t>A. Upper Respiratory Tract</t>
  </si>
  <si>
    <t>14/06/2020</t>
  </si>
  <si>
    <t>08/03/2020</t>
  </si>
  <si>
    <t>t/c Tracheobronchomalacia</t>
  </si>
  <si>
    <t>C. Acquired diseases e.g. Bronchial stenosis due to prolonged Intubation</t>
  </si>
  <si>
    <t>J47.9</t>
  </si>
  <si>
    <t>Bronchiectasis</t>
  </si>
  <si>
    <t>26/04/2003</t>
  </si>
  <si>
    <t>A. Bronchial Asthma</t>
  </si>
  <si>
    <t>J45</t>
  </si>
  <si>
    <t>Bronchial Asthma</t>
  </si>
  <si>
    <t>11/04/2020</t>
  </si>
  <si>
    <t>A15</t>
  </si>
  <si>
    <t>Pulmonary Tuberculosis</t>
  </si>
  <si>
    <t>Necrotizing Pneumonia</t>
  </si>
  <si>
    <t>21/01/2019</t>
  </si>
  <si>
    <t>B. Neuromuscular Diseases</t>
  </si>
  <si>
    <t>G12.9</t>
  </si>
  <si>
    <t>Spinal Muscular Atrophy</t>
  </si>
  <si>
    <t>20/07/2012</t>
  </si>
  <si>
    <t>18/06/2017</t>
  </si>
  <si>
    <t>17/09/2004</t>
  </si>
  <si>
    <t>B. Acute Respiratory Distress Syndrome (ARDS)</t>
  </si>
  <si>
    <t>J80</t>
  </si>
  <si>
    <t>Pediatric Acute Respiratory Syndrome</t>
  </si>
  <si>
    <t>07/09/2009</t>
  </si>
  <si>
    <t>5. Recurrent or Persistent Pneumonia</t>
  </si>
  <si>
    <t>Z87.01</t>
  </si>
  <si>
    <t>Recurrent pneumonia secondary to Aspiration</t>
  </si>
  <si>
    <t>07/12/2019</t>
  </si>
  <si>
    <t>Parapneumonic, pleural Effusion, Left</t>
  </si>
  <si>
    <t>16/02/2007</t>
  </si>
  <si>
    <t>A. Foreign Body</t>
  </si>
  <si>
    <t>Bronchiectasis secondary to Military TB</t>
  </si>
  <si>
    <t>26/07/2014</t>
  </si>
  <si>
    <t>4. Pneumonia with atelactasis, consolidation or parapneumonic effusion</t>
  </si>
  <si>
    <t>J18</t>
  </si>
  <si>
    <t>HCAP with consolidation, right</t>
  </si>
  <si>
    <t>8 Pulmonary Tuberculosis (Exposure, Latent TB infection, TB Disease)</t>
  </si>
  <si>
    <t>16/04/2004</t>
  </si>
  <si>
    <t>Pneumonia, PCAP-D</t>
  </si>
  <si>
    <t>September</t>
  </si>
  <si>
    <t>PCMC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</si>
</sst>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topLeftCell="A6" zoomScale="115" zoomScaleNormal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 t="s">
        <v>156</v>
      </c>
      <c r="C5" s="43" t="s">
        <v>26</v>
      </c>
      <c r="D5" s="51">
        <v>2020</v>
      </c>
      <c r="E5" s="51"/>
      <c r="F5" s="43" t="s">
        <v>27</v>
      </c>
      <c r="G5" s="51" t="s">
        <v>157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39</v>
      </c>
      <c r="C8" s="50"/>
      <c r="D8" s="55">
        <f>COUNTIFS('Data Sheet'!$D:$D,"New")</f>
        <v>24</v>
      </c>
      <c r="E8" s="56"/>
      <c r="F8" s="59">
        <f>COUNTIF('Data Sheet'!$D:$D,"Old")</f>
        <v>15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25</v>
      </c>
      <c r="C12" s="50"/>
      <c r="D12" s="50"/>
      <c r="E12" s="50">
        <f>COUNTIF('Data Sheet'!$E:$E,"Female")</f>
        <v>14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6</v>
      </c>
      <c r="C16" s="47" t="str">
        <f>_xlfn.CONCAT("New Cases: 
",COUNTIFS('Data Sheet'!$H:$H,"I. Congenital Malformations of the Respiratory Tract",'Data Sheet'!$D:$D,"New"))</f>
        <v>New Cases: 
2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3</v>
      </c>
      <c r="F16" s="47" t="str">
        <f>_xlfn.CONCAT("New Cases: 
",COUNTIFS('Data Sheet'!$H:$H,"VI. Non-infectious Disorders of the Respiratory Tract",'Data Sheet'!$D:$D,"New"))</f>
        <v>New Cases: 
2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str">
        <f>_xlfn.CONCAT("Old Cases: 
",COUNTIFS('Data Sheet'!$H:$H,"I. Congenital Malformations of the Respiratory Tract",'Data Sheet'!$D:$D,"Old"))</f>
        <v>Old Cases: 
4</v>
      </c>
      <c r="D17" s="47"/>
      <c r="E17" s="48"/>
      <c r="F17" s="47" t="str">
        <f>_xlfn.CONCAT("Old Cases: 
",COUNTIFS('Data Sheet'!$H:$H,"VI. Non-infectious Disorders of the Respiratory Tract",'Data Sheet'!$D:$D,"Old"))</f>
        <v>Old Cases: 
1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str">
        <f>_xlfn.CONCAT("II. Respiratory Disorders of the Newborn: 
",COUNTIF('Data Sheet'!$H:$H,"II. Respiratory Disorders of the Newborn"))</f>
        <v>II. Respiratory Disorders of the Newborn: 
0</v>
      </c>
      <c r="C18" s="47" t="str">
        <f>_xlfn.CONCAT("New Cases: 
",COUNTIFS('Data Sheet'!$H:$H,"II. Respiratory Disorders of the Newborn",'Data Sheet'!$D:$D,"New"))</f>
        <v>New Cases: 
0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47" t="str">
        <f>_xlfn.CONCAT("New Cases: 
",COUNTIFS('Data Sheet'!$H:$H,"VII. Other Diseases with Prominent Respiratory Component",'Data Sheet'!$D:$D,"New"))</f>
        <v>New Cases: 
0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0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str">
        <f>_xlfn.CONCAT("III. Bronchopulmonary Dysplasia: 
",COUNTIF('Data Sheet'!$H:$H,"III. Bronchopulmonary Dysplasia"))</f>
        <v>III. Bronchopulmonary Dysplasia: 
0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str">
        <f>_xlfn.CONCAT("IV. Infections of the Respiratory Tract: 
",COUNTIF('Data Sheet'!$H:$H,"IV. Infections of the Respiratory Tract"))</f>
        <v>IV. Infections of the Respiratory Tract: 
15</v>
      </c>
      <c r="C22" s="47" t="str">
        <f>_xlfn.CONCAT("New Cases: 
",COUNTIFS('Data Sheet'!$H:$H,"IV. Infections of the Respiratory Tract",'Data Sheet'!$D:$D,"New"))</f>
        <v>New Cases: 
9</v>
      </c>
      <c r="D22" s="47"/>
      <c r="E22" s="48" t="str">
        <f>_xlfn.CONCAT("IX. Airways Disease: 
",COUNTIF('Data Sheet'!$H:$H,"IX. Airways Disease"))</f>
        <v>IX. Airways Disease: 
2</v>
      </c>
      <c r="F22" s="47" t="str">
        <f>_xlfn.CONCAT("New Cases: 
",COUNTIFS('Data Sheet'!$H:$H,"IX. Airways Disease",'Data Sheet'!$D:$D,"New"))</f>
        <v>New Cases: 
1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str">
        <f>_xlfn.CONCAT("Old Cases: 
",COUNTIFS('Data Sheet'!$H:$H,"IV. Infections of the Respiratory Tract",'Data Sheet'!$D:$D,"Old"))</f>
        <v>Old Cases: 
6</v>
      </c>
      <c r="D23" s="47"/>
      <c r="E23" s="48"/>
      <c r="F23" s="47" t="str">
        <f>_xlfn.CONCAT("Old Cases: 
",COUNTIFS('Data Sheet'!$H:$H,"IX. Airways Disease",'Data Sheet'!$D:$D,"Old"))</f>
        <v>Old Cases: 
1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str">
        <f>_xlfn.CONCAT("V. Pleural Diseases: 
",COUNTIF('Data Sheet'!$H:$H,"V. Pleural Diseases"))</f>
        <v>V. Pleural Diseases: 
5</v>
      </c>
      <c r="C24" s="47" t="str">
        <f>_xlfn.CONCAT("New Cases: 
",COUNTIFS('Data Sheet'!$H:$H,"V. Pleural Diseases",'Data Sheet'!$D:$D,"New"))</f>
        <v>New Cases: 
5</v>
      </c>
      <c r="D24" s="47"/>
      <c r="E24" s="48" t="str">
        <f>_xlfn.CONCAT("X. Others Diseases: 
",COUNTIF('Data Sheet'!$H:$H,"X. Others Diseases"))</f>
        <v>X. Others Diseases: 
8</v>
      </c>
      <c r="F24" s="47" t="str">
        <f>_xlfn.CONCAT("New Cases: 
",COUNTIFS('Data Sheet'!$H:$H,"X. Others Diseases",'Data Sheet'!$D:$D,"New"))</f>
        <v>New Cases: 
5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str">
        <f>_xlfn.CONCAT("Old Cases: 
",COUNTIFS('Data Sheet'!$H:$H,"V. Pleural Diseases",'Data Sheet'!$D:$D,"Old"))</f>
        <v>Old Cases: 
0</v>
      </c>
      <c r="D25" s="47"/>
      <c r="E25" s="48"/>
      <c r="F25" s="47" t="str">
        <f>_xlfn.CONCAT("Old Cases: 
",COUNTIFS('Data Sheet'!$H:$H,"X. Others Diseases",'Data Sheet'!$D:$D,"Old"))</f>
        <v>Old Cases: 
3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Sheet'!$A:P,16,FALSE),"NA")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5">_xlfn._xlws.FILTER('Data Sheet'!A:A,'Data Sheet'!H:H=A2,"NA")</f>
        <v>7388</v>
      </c>
      <c r="B4" s="21" t="str">
        <f>_xlfn.IFNA(VLOOKUP($A4,'Data Sheet'!$A:B,2,FALSE),"NA")</f>
        <v>17/09/2021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08/03/2020</v>
      </c>
      <c r="G4" s="24">
        <f>_xlfn.IFNA(VLOOKUP($A4,'Data Sheet'!$A:G,7,FALSE),"NA")</f>
        <v>1</v>
      </c>
      <c r="H4" s="29" t="str">
        <f>_xlfn.IFNA(VLOOKUP($A4,'Data Sheet'!$A:Q,17,FALSE),"NA")</f>
        <v>C. Acquired diseases e.g. Bronchial stenosis due to prolonged Intubation</v>
      </c>
      <c r="I4" s="24" t="str">
        <f>_xlfn.IFNA(VLOOKUP($A4,'Data Sheet'!$A:S,19,FALSE),"NA")</f>
        <v>J47.9</v>
      </c>
      <c r="J4" s="25" t="str">
        <f>_xlfn.IFNA(VLOOKUP($A4,'Data Sheet'!$A:T,20,FALSE),"NA")</f>
        <v>Bronchiectasis</v>
      </c>
    </row>
    <row r="5" spans="1:19" ht="13" x14ac:dyDescent="0.15">
      <c r="A5" s="20">
        <v>7378</v>
      </c>
      <c r="B5" s="21" t="str">
        <f>_xlfn.IFNA(VLOOKUP($A5,'Data Sheet'!$A:B,2,FALSE),"NA")</f>
        <v>17/09/2021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16/02/2007</v>
      </c>
      <c r="G5" s="26">
        <f>_xlfn.IFNA(VLOOKUP($A5,'Data Sheet'!$A:G,7,FALSE),"NA")</f>
        <v>14</v>
      </c>
      <c r="H5" s="29" t="str">
        <f>_xlfn.IFNA(VLOOKUP($A5,'Data Sheet'!$A:Q,17,FALSE),"NA")</f>
        <v>A. Foreign Body</v>
      </c>
      <c r="I5" s="26" t="str">
        <f>_xlfn.IFNA(VLOOKUP($A5,'Data Sheet'!$A:S,19,FALSE),"NA")</f>
        <v>J47.9</v>
      </c>
      <c r="J5" s="29" t="str">
        <f>_xlfn.IFNA(VLOOKUP($A5,'Data Sheet'!$A:T,20,FALSE),"NA")</f>
        <v>Bronchiectasis secondary to Military TB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11">_xlfn._xlws.FILTER('Data Sheet'!A:A,'Data Sheet'!H:H=A2,"NA")</f>
        <v>7489</v>
      </c>
      <c r="B4" s="21" t="str">
        <f>_xlfn.IFNA(VLOOKUP($A4,'Data Sheet'!$A:B,2,FALSE),"NA")</f>
        <v>18/09/2021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01/07/2019</v>
      </c>
      <c r="G4" s="24">
        <f>_xlfn.IFNA(VLOOKUP($A4,'Data Sheet'!$A:G,7,FALSE),"NA")</f>
        <v>2</v>
      </c>
      <c r="H4" s="25" t="str">
        <f>_xlfn.IFNA(VLOOKUP($A4,'Data Sheet'!$A:R,18,FALSE),"NA")</f>
        <v>E. Other diseases not specified</v>
      </c>
      <c r="I4" s="24" t="str">
        <f>_xlfn.IFNA(VLOOKUP($A4,'Data Sheet'!$A:S,19,FALSE),"NA")</f>
        <v>B44.0</v>
      </c>
      <c r="J4" s="25" t="str">
        <f>_xlfn.IFNA(VLOOKUP($A4,'Data Sheet'!$A:T,20,FALSE),"NA")</f>
        <v>Invasive Aspergilloma,right upper lobe</v>
      </c>
    </row>
    <row r="5" spans="1:19" ht="13" x14ac:dyDescent="0.15">
      <c r="A5" s="20">
        <v>7487</v>
      </c>
      <c r="B5" s="21" t="str">
        <f>_xlfn.IFNA(VLOOKUP($A5,'Data Sheet'!$A:B,2,FALSE),"NA")</f>
        <v>18/09/2021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23/06/2011</v>
      </c>
      <c r="G5" s="26">
        <f>_xlfn.IFNA(VLOOKUP($A5,'Data Sheet'!$A:G,7,FALSE),"NA")</f>
        <v>10</v>
      </c>
      <c r="H5" s="29" t="str">
        <f>_xlfn.IFNA(VLOOKUP($A5,'Data Sheet'!$A:R,18,FALSE),"NA")</f>
        <v>E. Other diseases not specified</v>
      </c>
      <c r="I5" s="26" t="str">
        <f>_xlfn.IFNA(VLOOKUP($A5,'Data Sheet'!$A:S,19,FALSE),"NA")</f>
        <v>J98.11</v>
      </c>
      <c r="J5" s="29" t="str">
        <f>_xlfn.IFNA(VLOOKUP($A5,'Data Sheet'!$A:T,20,FALSE),"NA")</f>
        <v>Atelectasis left probably secondary to mucus plug</v>
      </c>
    </row>
    <row r="6" spans="1:19" ht="13" x14ac:dyDescent="0.15">
      <c r="A6" s="20">
        <v>7485</v>
      </c>
      <c r="B6" s="21" t="str">
        <f>_xlfn.IFNA(VLOOKUP($A6,'Data Sheet'!$A:B,2,FALSE),"NA")</f>
        <v>18/09/2021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05/05/2002</v>
      </c>
      <c r="G6" s="26">
        <f>_xlfn.IFNA(VLOOKUP($A6,'Data Sheet'!$A:G,7,FALSE),"NA")</f>
        <v>19</v>
      </c>
      <c r="H6" s="29" t="str">
        <f>_xlfn.IFNA(VLOOKUP($A6,'Data Sheet'!$A:R,18,FALSE),"NA")</f>
        <v>E. Other diseases not specified</v>
      </c>
      <c r="I6" s="26" t="str">
        <f>_xlfn.IFNA(VLOOKUP($A6,'Data Sheet'!$A:S,19,FALSE),"NA")</f>
        <v xml:space="preserve"> J43.9</v>
      </c>
      <c r="J6" s="29" t="str">
        <f>_xlfn.IFNA(VLOOKUP($A6,'Data Sheet'!$A:T,20,FALSE),"NA")</f>
        <v>Subpleural Bleb, apical segment, Right upper lobe</v>
      </c>
    </row>
    <row r="7" spans="1:19" ht="13" x14ac:dyDescent="0.15">
      <c r="A7" s="20">
        <v>7408</v>
      </c>
      <c r="B7" s="21" t="str">
        <f>_xlfn.IFNA(VLOOKUP($A7,'Data Sheet'!$A:B,2,FALSE),"NA")</f>
        <v>17/09/2021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22/11/2008</v>
      </c>
      <c r="G7" s="26">
        <f>_xlfn.IFNA(VLOOKUP($A7,'Data Sheet'!$A:G,7,FALSE),"NA")</f>
        <v>12</v>
      </c>
      <c r="H7" s="29" t="str">
        <f>_xlfn.IFNA(VLOOKUP($A7,'Data Sheet'!$A:R,18,FALSE),"NA")</f>
        <v>E. Other diseases not specified</v>
      </c>
      <c r="I7" s="26" t="str">
        <f>_xlfn.IFNA(VLOOKUP($A7,'Data Sheet'!$A:S,19,FALSE),"NA")</f>
        <v>D14.1</v>
      </c>
      <c r="J7" s="29" t="str">
        <f>_xlfn.IFNA(VLOOKUP($A7,'Data Sheet'!$A:T,20,FALSE),"NA")</f>
        <v>Upper airway obstruction secondary to Laryngeal Papilloma</v>
      </c>
    </row>
    <row r="8" spans="1:19" ht="13" x14ac:dyDescent="0.15">
      <c r="A8" s="20">
        <v>7404</v>
      </c>
      <c r="B8" s="21" t="str">
        <f>_xlfn.IFNA(VLOOKUP($A8,'Data Sheet'!$A:B,2,FALSE),"NA")</f>
        <v>17/09/2021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10/05/2018</v>
      </c>
      <c r="G8" s="26">
        <f>_xlfn.IFNA(VLOOKUP($A8,'Data Sheet'!$A:G,7,FALSE),"NA")</f>
        <v>3</v>
      </c>
      <c r="H8" s="29" t="str">
        <f>_xlfn.IFNA(VLOOKUP($A8,'Data Sheet'!$A:R,18,FALSE),"NA")</f>
        <v>E. Other diseases not specified</v>
      </c>
      <c r="I8" s="26" t="str">
        <f>_xlfn.IFNA(VLOOKUP($A8,'Data Sheet'!$A:S,19,FALSE),"NA")</f>
        <v>P26.1</v>
      </c>
      <c r="J8" s="29" t="str">
        <f>_xlfn.IFNA(VLOOKUP($A8,'Data Sheet'!$A:T,20,FALSE),"NA")</f>
        <v>Pulmonary hemorrhage sec Acute Leukemia</v>
      </c>
    </row>
    <row r="9" spans="1:19" ht="13" x14ac:dyDescent="0.15">
      <c r="A9" s="20">
        <v>7395</v>
      </c>
      <c r="B9" s="21" t="str">
        <f>_xlfn.IFNA(VLOOKUP($A9,'Data Sheet'!$A:B,2,FALSE),"NA")</f>
        <v>17/09/2021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Old</v>
      </c>
      <c r="E9" s="22" t="str">
        <f>_xlfn.IFNA(VLOOKUP($A9,'Data Sheet'!$A:E,5,FALSE),"NA")</f>
        <v>Female</v>
      </c>
      <c r="F9" s="23" t="str">
        <f>_xlfn.IFNA(VLOOKUP($A9,'Data Sheet'!$A:F,6,FALSE),"NA")</f>
        <v>01/06/2015</v>
      </c>
      <c r="G9" s="26">
        <f>_xlfn.IFNA(VLOOKUP($A9,'Data Sheet'!$A:G,7,FALSE),"NA")</f>
        <v>6</v>
      </c>
      <c r="H9" s="29" t="str">
        <f>_xlfn.IFNA(VLOOKUP($A9,'Data Sheet'!$A:R,18,FALSE),"NA")</f>
        <v>E. Other diseases not specified</v>
      </c>
      <c r="I9" s="26" t="str">
        <f>_xlfn.IFNA(VLOOKUP($A9,'Data Sheet'!$A:S,19,FALSE),"NA")</f>
        <v>J98.11</v>
      </c>
      <c r="J9" s="29" t="str">
        <f>_xlfn.IFNA(VLOOKUP($A9,'Data Sheet'!$A:T,20,FALSE),"NA")</f>
        <v>Atelectasis Right Upper Lobe probably secondary to mucus plug</v>
      </c>
    </row>
    <row r="10" spans="1:19" ht="13" x14ac:dyDescent="0.15">
      <c r="A10" s="20">
        <v>7384</v>
      </c>
      <c r="B10" s="21" t="str">
        <f>_xlfn.IFNA(VLOOKUP($A10,'Data Sheet'!$A:B,2,FALSE),"NA")</f>
        <v>17/09/2021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Old</v>
      </c>
      <c r="E10" s="22" t="str">
        <f>_xlfn.IFNA(VLOOKUP($A10,'Data Sheet'!$A:E,5,FALSE),"NA")</f>
        <v>Male</v>
      </c>
      <c r="F10" s="23" t="str">
        <f>_xlfn.IFNA(VLOOKUP($A10,'Data Sheet'!$A:F,6,FALSE),"NA")</f>
        <v>21/01/2019</v>
      </c>
      <c r="G10" s="26">
        <f>_xlfn.IFNA(VLOOKUP($A10,'Data Sheet'!$A:G,7,FALSE),"NA")</f>
        <v>2</v>
      </c>
      <c r="H10" s="29" t="str">
        <f>_xlfn.IFNA(VLOOKUP($A10,'Data Sheet'!$A:R,18,FALSE),"NA")</f>
        <v>B. Neuromuscular Diseases</v>
      </c>
      <c r="I10" s="26" t="str">
        <f>_xlfn.IFNA(VLOOKUP($A10,'Data Sheet'!$A:S,19,FALSE),"NA")</f>
        <v>G12.9</v>
      </c>
      <c r="J10" s="29" t="str">
        <f>_xlfn.IFNA(VLOOKUP($A10,'Data Sheet'!$A:T,20,FALSE),"NA")</f>
        <v>Spinal Muscular Atrophy</v>
      </c>
    </row>
    <row r="11" spans="1:19" ht="13" x14ac:dyDescent="0.15">
      <c r="A11" s="20">
        <v>7383</v>
      </c>
      <c r="B11" s="21" t="str">
        <f>_xlfn.IFNA(VLOOKUP($A11,'Data Sheet'!$A:B,2,FALSE),"NA")</f>
        <v>17/09/2021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Old</v>
      </c>
      <c r="E11" s="22" t="str">
        <f>_xlfn.IFNA(VLOOKUP($A11,'Data Sheet'!$A:E,5,FALSE),"NA")</f>
        <v>Female</v>
      </c>
      <c r="F11" s="23" t="str">
        <f>_xlfn.IFNA(VLOOKUP($A11,'Data Sheet'!$A:F,6,FALSE),"NA")</f>
        <v>20/07/2012</v>
      </c>
      <c r="G11" s="26">
        <f>_xlfn.IFNA(VLOOKUP($A11,'Data Sheet'!$A:G,7,FALSE),"NA")</f>
        <v>9</v>
      </c>
      <c r="H11" s="29" t="str">
        <f>_xlfn.IFNA(VLOOKUP($A11,'Data Sheet'!$A:R,18,FALSE),"NA")</f>
        <v>B. Neuromuscular Diseases</v>
      </c>
      <c r="I11" s="26" t="str">
        <f>_xlfn.IFNA(VLOOKUP($A11,'Data Sheet'!$A:S,19,FALSE),"NA")</f>
        <v>G12.9</v>
      </c>
      <c r="J11" s="29" t="str">
        <f>_xlfn.IFNA(VLOOKUP($A11,'Data Sheet'!$A:T,20,FALSE),"NA")</f>
        <v>Spinal Muscular Atrophy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:XFD40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5" customFormat="1" ht="13" x14ac:dyDescent="0.15">
      <c r="A2" s="64">
        <v>7494</v>
      </c>
      <c r="B2" s="65" t="s">
        <v>36</v>
      </c>
      <c r="C2" s="65" t="s">
        <v>37</v>
      </c>
      <c r="D2" s="65" t="s">
        <v>38</v>
      </c>
      <c r="E2" s="65" t="s">
        <v>39</v>
      </c>
      <c r="F2" s="65" t="s">
        <v>40</v>
      </c>
      <c r="G2" s="64">
        <v>1</v>
      </c>
      <c r="H2" s="65" t="s">
        <v>9</v>
      </c>
      <c r="J2" s="65" t="s">
        <v>41</v>
      </c>
      <c r="K2" s="65" t="s">
        <v>42</v>
      </c>
      <c r="S2" s="65" t="s">
        <v>43</v>
      </c>
      <c r="T2" s="65" t="s">
        <v>44</v>
      </c>
    </row>
    <row r="3" spans="1:20" s="65" customFormat="1" ht="13" x14ac:dyDescent="0.15">
      <c r="A3" s="64">
        <v>7493</v>
      </c>
      <c r="B3" s="65" t="s">
        <v>36</v>
      </c>
      <c r="C3" s="65" t="s">
        <v>37</v>
      </c>
      <c r="D3" s="65" t="s">
        <v>38</v>
      </c>
      <c r="E3" s="65" t="s">
        <v>45</v>
      </c>
      <c r="F3" s="65" t="s">
        <v>46</v>
      </c>
      <c r="G3" s="64">
        <v>18</v>
      </c>
      <c r="H3" s="65" t="s">
        <v>9</v>
      </c>
      <c r="J3" s="65" t="s">
        <v>41</v>
      </c>
      <c r="K3" s="65" t="s">
        <v>47</v>
      </c>
      <c r="S3" s="65" t="s">
        <v>43</v>
      </c>
      <c r="T3" s="65" t="s">
        <v>48</v>
      </c>
    </row>
    <row r="4" spans="1:20" s="65" customFormat="1" ht="13" x14ac:dyDescent="0.15">
      <c r="A4" s="64">
        <v>7492</v>
      </c>
      <c r="B4" s="65" t="s">
        <v>36</v>
      </c>
      <c r="C4" s="65" t="s">
        <v>37</v>
      </c>
      <c r="D4" s="65" t="s">
        <v>49</v>
      </c>
      <c r="E4" s="65" t="s">
        <v>39</v>
      </c>
      <c r="F4" s="65" t="s">
        <v>50</v>
      </c>
      <c r="G4" s="64">
        <v>16</v>
      </c>
      <c r="H4" s="65" t="s">
        <v>9</v>
      </c>
      <c r="J4" s="65" t="s">
        <v>41</v>
      </c>
      <c r="K4" s="65" t="s">
        <v>51</v>
      </c>
      <c r="S4" s="65" t="s">
        <v>52</v>
      </c>
      <c r="T4" s="65" t="s">
        <v>53</v>
      </c>
    </row>
    <row r="5" spans="1:20" s="65" customFormat="1" ht="13" x14ac:dyDescent="0.15">
      <c r="A5" s="64">
        <v>7491</v>
      </c>
      <c r="B5" s="65" t="s">
        <v>36</v>
      </c>
      <c r="C5" s="65" t="s">
        <v>37</v>
      </c>
      <c r="D5" s="65" t="s">
        <v>38</v>
      </c>
      <c r="E5" s="65" t="s">
        <v>39</v>
      </c>
      <c r="F5" s="65" t="s">
        <v>54</v>
      </c>
      <c r="G5" s="64">
        <v>7</v>
      </c>
      <c r="H5" s="65" t="s">
        <v>9</v>
      </c>
      <c r="J5" s="65" t="s">
        <v>41</v>
      </c>
      <c r="K5" s="65" t="s">
        <v>47</v>
      </c>
      <c r="S5" s="65" t="s">
        <v>43</v>
      </c>
      <c r="T5" s="65" t="s">
        <v>55</v>
      </c>
    </row>
    <row r="6" spans="1:20" s="65" customFormat="1" ht="13" x14ac:dyDescent="0.15">
      <c r="A6" s="64">
        <v>7490</v>
      </c>
      <c r="B6" s="65" t="s">
        <v>36</v>
      </c>
      <c r="C6" s="65" t="s">
        <v>37</v>
      </c>
      <c r="D6" s="65" t="s">
        <v>49</v>
      </c>
      <c r="E6" s="65" t="s">
        <v>39</v>
      </c>
      <c r="F6" s="65" t="s">
        <v>56</v>
      </c>
      <c r="G6" s="64">
        <v>9</v>
      </c>
      <c r="H6" s="65" t="s">
        <v>9</v>
      </c>
      <c r="J6" s="65" t="s">
        <v>41</v>
      </c>
      <c r="K6" s="65" t="s">
        <v>42</v>
      </c>
      <c r="S6" s="65" t="s">
        <v>57</v>
      </c>
      <c r="T6" s="65" t="s">
        <v>44</v>
      </c>
    </row>
    <row r="7" spans="1:20" s="65" customFormat="1" ht="13" x14ac:dyDescent="0.15">
      <c r="A7" s="64">
        <v>7489</v>
      </c>
      <c r="B7" s="65" t="s">
        <v>36</v>
      </c>
      <c r="C7" s="65" t="s">
        <v>37</v>
      </c>
      <c r="D7" s="65" t="s">
        <v>38</v>
      </c>
      <c r="E7" s="65" t="s">
        <v>39</v>
      </c>
      <c r="F7" s="65" t="s">
        <v>58</v>
      </c>
      <c r="G7" s="64">
        <v>2</v>
      </c>
      <c r="H7" s="65" t="s">
        <v>17</v>
      </c>
      <c r="R7" s="65" t="s">
        <v>59</v>
      </c>
      <c r="S7" s="65" t="s">
        <v>60</v>
      </c>
      <c r="T7" s="65" t="s">
        <v>61</v>
      </c>
    </row>
    <row r="8" spans="1:20" s="65" customFormat="1" ht="13" x14ac:dyDescent="0.15">
      <c r="A8" s="64">
        <v>7488</v>
      </c>
      <c r="B8" s="65" t="s">
        <v>36</v>
      </c>
      <c r="C8" s="65" t="s">
        <v>37</v>
      </c>
      <c r="D8" s="65" t="s">
        <v>49</v>
      </c>
      <c r="E8" s="65" t="s">
        <v>45</v>
      </c>
      <c r="F8" s="65" t="s">
        <v>62</v>
      </c>
      <c r="G8" s="64">
        <v>1</v>
      </c>
      <c r="H8" s="65" t="s">
        <v>8</v>
      </c>
      <c r="I8" s="65" t="s">
        <v>63</v>
      </c>
      <c r="S8" s="65" t="s">
        <v>64</v>
      </c>
      <c r="T8" s="65" t="s">
        <v>65</v>
      </c>
    </row>
    <row r="9" spans="1:20" s="65" customFormat="1" ht="13" x14ac:dyDescent="0.15">
      <c r="A9" s="64">
        <v>7487</v>
      </c>
      <c r="B9" s="65" t="s">
        <v>36</v>
      </c>
      <c r="C9" s="65" t="s">
        <v>37</v>
      </c>
      <c r="D9" s="65" t="s">
        <v>38</v>
      </c>
      <c r="E9" s="65" t="s">
        <v>39</v>
      </c>
      <c r="F9" s="65" t="s">
        <v>66</v>
      </c>
      <c r="G9" s="64">
        <v>10</v>
      </c>
      <c r="H9" s="65" t="s">
        <v>17</v>
      </c>
      <c r="R9" s="65" t="s">
        <v>59</v>
      </c>
      <c r="S9" s="65" t="s">
        <v>67</v>
      </c>
      <c r="T9" s="65" t="s">
        <v>68</v>
      </c>
    </row>
    <row r="10" spans="1:20" s="65" customFormat="1" ht="13" x14ac:dyDescent="0.15">
      <c r="A10" s="64">
        <v>7485</v>
      </c>
      <c r="B10" s="65" t="s">
        <v>36</v>
      </c>
      <c r="C10" s="65" t="s">
        <v>37</v>
      </c>
      <c r="D10" s="65" t="s">
        <v>38</v>
      </c>
      <c r="E10" s="65" t="s">
        <v>39</v>
      </c>
      <c r="F10" s="65" t="s">
        <v>69</v>
      </c>
      <c r="G10" s="64">
        <v>19</v>
      </c>
      <c r="H10" s="65" t="s">
        <v>17</v>
      </c>
      <c r="R10" s="65" t="s">
        <v>59</v>
      </c>
      <c r="S10" s="65" t="s">
        <v>70</v>
      </c>
      <c r="T10" s="65" t="s">
        <v>71</v>
      </c>
    </row>
    <row r="11" spans="1:20" s="65" customFormat="1" ht="13" x14ac:dyDescent="0.15">
      <c r="A11" s="64">
        <v>7408</v>
      </c>
      <c r="B11" s="65" t="s">
        <v>72</v>
      </c>
      <c r="C11" s="65" t="s">
        <v>37</v>
      </c>
      <c r="D11" s="65" t="s">
        <v>38</v>
      </c>
      <c r="E11" s="65" t="s">
        <v>39</v>
      </c>
      <c r="F11" s="65" t="s">
        <v>73</v>
      </c>
      <c r="G11" s="64">
        <v>12</v>
      </c>
      <c r="H11" s="65" t="s">
        <v>17</v>
      </c>
      <c r="R11" s="65" t="s">
        <v>59</v>
      </c>
      <c r="S11" s="65" t="s">
        <v>74</v>
      </c>
      <c r="T11" s="65" t="s">
        <v>75</v>
      </c>
    </row>
    <row r="12" spans="1:20" s="65" customFormat="1" ht="13" x14ac:dyDescent="0.15">
      <c r="A12" s="64">
        <v>7407</v>
      </c>
      <c r="B12" s="65" t="s">
        <v>72</v>
      </c>
      <c r="C12" s="65" t="s">
        <v>37</v>
      </c>
      <c r="D12" s="65" t="s">
        <v>38</v>
      </c>
      <c r="E12" s="65" t="s">
        <v>39</v>
      </c>
      <c r="F12" s="65" t="s">
        <v>76</v>
      </c>
      <c r="G12" s="64">
        <v>19</v>
      </c>
      <c r="H12" s="65" t="s">
        <v>11</v>
      </c>
      <c r="L12" s="65" t="s">
        <v>77</v>
      </c>
      <c r="M12" s="65" t="s">
        <v>78</v>
      </c>
      <c r="S12" s="65" t="s">
        <v>79</v>
      </c>
      <c r="T12" s="65" t="s">
        <v>80</v>
      </c>
    </row>
    <row r="13" spans="1:20" s="65" customFormat="1" ht="13" x14ac:dyDescent="0.15">
      <c r="A13" s="64">
        <v>7406</v>
      </c>
      <c r="B13" s="65" t="s">
        <v>72</v>
      </c>
      <c r="C13" s="65" t="s">
        <v>37</v>
      </c>
      <c r="D13" s="65" t="s">
        <v>38</v>
      </c>
      <c r="E13" s="65" t="s">
        <v>39</v>
      </c>
      <c r="F13" s="65" t="s">
        <v>81</v>
      </c>
      <c r="G13" s="64">
        <v>0</v>
      </c>
      <c r="H13" s="65" t="s">
        <v>8</v>
      </c>
      <c r="I13" s="65" t="s">
        <v>82</v>
      </c>
      <c r="S13" s="65" t="s">
        <v>83</v>
      </c>
      <c r="T13" s="65" t="s">
        <v>84</v>
      </c>
    </row>
    <row r="14" spans="1:20" s="65" customFormat="1" ht="13" x14ac:dyDescent="0.15">
      <c r="A14" s="64">
        <v>7405</v>
      </c>
      <c r="B14" s="65" t="s">
        <v>72</v>
      </c>
      <c r="C14" s="65" t="s">
        <v>37</v>
      </c>
      <c r="D14" s="65" t="s">
        <v>38</v>
      </c>
      <c r="E14" s="65" t="s">
        <v>39</v>
      </c>
      <c r="F14" s="65" t="s">
        <v>85</v>
      </c>
      <c r="G14" s="64">
        <v>1</v>
      </c>
      <c r="H14" s="65" t="s">
        <v>8</v>
      </c>
      <c r="I14" s="65" t="s">
        <v>86</v>
      </c>
      <c r="S14" s="65" t="s">
        <v>87</v>
      </c>
      <c r="T14" s="65" t="s">
        <v>88</v>
      </c>
    </row>
    <row r="15" spans="1:20" s="65" customFormat="1" ht="13" x14ac:dyDescent="0.15">
      <c r="A15" s="64">
        <v>7404</v>
      </c>
      <c r="B15" s="65" t="s">
        <v>72</v>
      </c>
      <c r="C15" s="65" t="s">
        <v>37</v>
      </c>
      <c r="D15" s="65" t="s">
        <v>38</v>
      </c>
      <c r="E15" s="65" t="s">
        <v>39</v>
      </c>
      <c r="F15" s="65" t="s">
        <v>89</v>
      </c>
      <c r="G15" s="64">
        <v>3</v>
      </c>
      <c r="H15" s="65" t="s">
        <v>17</v>
      </c>
      <c r="R15" s="65" t="s">
        <v>59</v>
      </c>
      <c r="S15" s="65" t="s">
        <v>90</v>
      </c>
      <c r="T15" s="65" t="s">
        <v>91</v>
      </c>
    </row>
    <row r="16" spans="1:20" s="65" customFormat="1" ht="13" x14ac:dyDescent="0.15">
      <c r="A16" s="64">
        <v>7403</v>
      </c>
      <c r="B16" s="65" t="s">
        <v>72</v>
      </c>
      <c r="C16" s="65" t="s">
        <v>37</v>
      </c>
      <c r="D16" s="65" t="s">
        <v>38</v>
      </c>
      <c r="E16" s="65" t="s">
        <v>39</v>
      </c>
      <c r="F16" s="65" t="s">
        <v>92</v>
      </c>
      <c r="G16" s="64">
        <v>1</v>
      </c>
      <c r="H16" s="65" t="s">
        <v>9</v>
      </c>
      <c r="J16" s="65" t="s">
        <v>41</v>
      </c>
      <c r="K16" s="65" t="s">
        <v>47</v>
      </c>
      <c r="S16" s="65" t="s">
        <v>93</v>
      </c>
      <c r="T16" s="65" t="s">
        <v>94</v>
      </c>
    </row>
    <row r="17" spans="1:20" s="65" customFormat="1" ht="13" x14ac:dyDescent="0.15">
      <c r="A17" s="64">
        <v>7402</v>
      </c>
      <c r="B17" s="65" t="s">
        <v>72</v>
      </c>
      <c r="C17" s="65" t="s">
        <v>37</v>
      </c>
      <c r="D17" s="65" t="s">
        <v>38</v>
      </c>
      <c r="E17" s="65" t="s">
        <v>39</v>
      </c>
      <c r="F17" s="65" t="s">
        <v>95</v>
      </c>
      <c r="G17" s="64">
        <v>1</v>
      </c>
      <c r="H17" s="65" t="s">
        <v>11</v>
      </c>
      <c r="L17" s="65" t="s">
        <v>77</v>
      </c>
      <c r="M17" s="65" t="s">
        <v>96</v>
      </c>
      <c r="S17" s="65" t="s">
        <v>97</v>
      </c>
      <c r="T17" s="65" t="s">
        <v>98</v>
      </c>
    </row>
    <row r="18" spans="1:20" s="65" customFormat="1" ht="13" x14ac:dyDescent="0.15">
      <c r="A18" s="64">
        <v>7401</v>
      </c>
      <c r="B18" s="65" t="s">
        <v>72</v>
      </c>
      <c r="C18" s="65" t="s">
        <v>37</v>
      </c>
      <c r="D18" s="65" t="s">
        <v>38</v>
      </c>
      <c r="E18" s="65" t="s">
        <v>39</v>
      </c>
      <c r="F18" s="65" t="s">
        <v>99</v>
      </c>
      <c r="G18" s="64">
        <v>1</v>
      </c>
      <c r="H18" s="65" t="s">
        <v>11</v>
      </c>
      <c r="L18" s="65" t="s">
        <v>77</v>
      </c>
      <c r="M18" s="65" t="s">
        <v>78</v>
      </c>
      <c r="S18" s="65" t="s">
        <v>100</v>
      </c>
      <c r="T18" s="65" t="s">
        <v>101</v>
      </c>
    </row>
    <row r="19" spans="1:20" s="65" customFormat="1" ht="13" x14ac:dyDescent="0.15">
      <c r="A19" s="64">
        <v>7400</v>
      </c>
      <c r="B19" s="65" t="s">
        <v>72</v>
      </c>
      <c r="C19" s="65" t="s">
        <v>37</v>
      </c>
      <c r="D19" s="65" t="s">
        <v>38</v>
      </c>
      <c r="E19" s="65" t="s">
        <v>39</v>
      </c>
      <c r="F19" s="65" t="s">
        <v>102</v>
      </c>
      <c r="G19" s="64">
        <v>14</v>
      </c>
      <c r="H19" s="65" t="s">
        <v>11</v>
      </c>
      <c r="L19" s="65" t="s">
        <v>103</v>
      </c>
      <c r="S19" s="65" t="s">
        <v>104</v>
      </c>
      <c r="T19" s="65" t="s">
        <v>105</v>
      </c>
    </row>
    <row r="20" spans="1:20" s="65" customFormat="1" ht="13" x14ac:dyDescent="0.15">
      <c r="A20" s="64">
        <v>7398</v>
      </c>
      <c r="B20" s="65" t="s">
        <v>72</v>
      </c>
      <c r="C20" s="65" t="s">
        <v>37</v>
      </c>
      <c r="D20" s="65" t="s">
        <v>49</v>
      </c>
      <c r="E20" s="65" t="s">
        <v>45</v>
      </c>
      <c r="F20" s="65" t="s">
        <v>106</v>
      </c>
      <c r="G20" s="64">
        <v>1</v>
      </c>
      <c r="H20" s="65" t="s">
        <v>8</v>
      </c>
      <c r="I20" s="65" t="s">
        <v>107</v>
      </c>
      <c r="S20" s="65" t="s">
        <v>108</v>
      </c>
      <c r="T20" s="65" t="s">
        <v>109</v>
      </c>
    </row>
    <row r="21" spans="1:20" s="65" customFormat="1" ht="13" x14ac:dyDescent="0.15">
      <c r="A21" s="64">
        <v>7397</v>
      </c>
      <c r="B21" s="65" t="s">
        <v>72</v>
      </c>
      <c r="C21" s="65" t="s">
        <v>37</v>
      </c>
      <c r="D21" s="65" t="s">
        <v>49</v>
      </c>
      <c r="E21" s="65" t="s">
        <v>45</v>
      </c>
      <c r="F21" s="65" t="s">
        <v>106</v>
      </c>
      <c r="G21" s="64">
        <v>1</v>
      </c>
      <c r="H21" s="65" t="s">
        <v>8</v>
      </c>
      <c r="I21" s="65" t="s">
        <v>107</v>
      </c>
      <c r="S21" s="65" t="s">
        <v>108</v>
      </c>
      <c r="T21" s="65" t="s">
        <v>109</v>
      </c>
    </row>
    <row r="22" spans="1:20" s="65" customFormat="1" ht="13" x14ac:dyDescent="0.15">
      <c r="A22" s="64">
        <v>7396</v>
      </c>
      <c r="B22" s="65" t="s">
        <v>72</v>
      </c>
      <c r="C22" s="65" t="s">
        <v>37</v>
      </c>
      <c r="D22" s="65" t="s">
        <v>49</v>
      </c>
      <c r="E22" s="65" t="s">
        <v>39</v>
      </c>
      <c r="F22" s="65" t="s">
        <v>110</v>
      </c>
      <c r="G22" s="64">
        <v>1</v>
      </c>
      <c r="H22" s="65" t="s">
        <v>9</v>
      </c>
      <c r="J22" s="65" t="s">
        <v>41</v>
      </c>
      <c r="K22" s="65" t="s">
        <v>47</v>
      </c>
      <c r="S22" s="65" t="s">
        <v>43</v>
      </c>
      <c r="T22" s="65" t="s">
        <v>111</v>
      </c>
    </row>
    <row r="23" spans="1:20" s="65" customFormat="1" ht="13" x14ac:dyDescent="0.15">
      <c r="A23" s="64">
        <v>7395</v>
      </c>
      <c r="B23" s="65" t="s">
        <v>72</v>
      </c>
      <c r="C23" s="65" t="s">
        <v>37</v>
      </c>
      <c r="D23" s="65" t="s">
        <v>49</v>
      </c>
      <c r="E23" s="65" t="s">
        <v>45</v>
      </c>
      <c r="F23" s="65" t="s">
        <v>112</v>
      </c>
      <c r="G23" s="64">
        <v>6</v>
      </c>
      <c r="H23" s="65" t="s">
        <v>17</v>
      </c>
      <c r="R23" s="65" t="s">
        <v>59</v>
      </c>
      <c r="S23" s="65" t="s">
        <v>67</v>
      </c>
      <c r="T23" s="65" t="s">
        <v>113</v>
      </c>
    </row>
    <row r="24" spans="1:20" s="65" customFormat="1" ht="13" x14ac:dyDescent="0.15">
      <c r="A24" s="64">
        <v>7393</v>
      </c>
      <c r="B24" s="65" t="s">
        <v>72</v>
      </c>
      <c r="C24" s="65" t="s">
        <v>37</v>
      </c>
      <c r="D24" s="65" t="s">
        <v>49</v>
      </c>
      <c r="E24" s="65" t="s">
        <v>39</v>
      </c>
      <c r="F24" s="65" t="s">
        <v>114</v>
      </c>
      <c r="G24" s="64">
        <v>1</v>
      </c>
      <c r="H24" s="65" t="s">
        <v>9</v>
      </c>
      <c r="J24" s="65" t="s">
        <v>115</v>
      </c>
      <c r="S24" s="65" t="s">
        <v>93</v>
      </c>
      <c r="T24" s="65" t="s">
        <v>94</v>
      </c>
    </row>
    <row r="25" spans="1:20" s="65" customFormat="1" ht="13" x14ac:dyDescent="0.15">
      <c r="A25" s="64">
        <v>7392</v>
      </c>
      <c r="B25" s="65" t="s">
        <v>72</v>
      </c>
      <c r="C25" s="65" t="s">
        <v>37</v>
      </c>
      <c r="D25" s="65" t="s">
        <v>49</v>
      </c>
      <c r="E25" s="65" t="s">
        <v>39</v>
      </c>
      <c r="F25" s="65" t="s">
        <v>116</v>
      </c>
      <c r="G25" s="64">
        <v>1</v>
      </c>
      <c r="H25" s="65" t="s">
        <v>9</v>
      </c>
      <c r="J25" s="65" t="s">
        <v>41</v>
      </c>
      <c r="K25" s="65" t="s">
        <v>47</v>
      </c>
      <c r="S25" s="65" t="s">
        <v>43</v>
      </c>
      <c r="T25" s="65" t="s">
        <v>44</v>
      </c>
    </row>
    <row r="26" spans="1:20" s="65" customFormat="1" ht="13" x14ac:dyDescent="0.15">
      <c r="A26" s="64">
        <v>7389</v>
      </c>
      <c r="B26" s="65" t="s">
        <v>72</v>
      </c>
      <c r="C26" s="65" t="s">
        <v>37</v>
      </c>
      <c r="D26" s="65" t="s">
        <v>49</v>
      </c>
      <c r="E26" s="65" t="s">
        <v>39</v>
      </c>
      <c r="F26" s="65" t="s">
        <v>117</v>
      </c>
      <c r="G26" s="64">
        <v>1</v>
      </c>
      <c r="H26" s="65" t="s">
        <v>8</v>
      </c>
      <c r="I26" s="65" t="s">
        <v>63</v>
      </c>
      <c r="S26" s="65" t="s">
        <v>108</v>
      </c>
      <c r="T26" s="65" t="s">
        <v>118</v>
      </c>
    </row>
    <row r="27" spans="1:20" s="65" customFormat="1" ht="13" x14ac:dyDescent="0.15">
      <c r="A27" s="64">
        <v>7388</v>
      </c>
      <c r="B27" s="65" t="s">
        <v>72</v>
      </c>
      <c r="C27" s="65" t="s">
        <v>37</v>
      </c>
      <c r="D27" s="65" t="s">
        <v>49</v>
      </c>
      <c r="E27" s="65" t="s">
        <v>39</v>
      </c>
      <c r="F27" s="65" t="s">
        <v>117</v>
      </c>
      <c r="G27" s="64">
        <v>1</v>
      </c>
      <c r="H27" s="65" t="s">
        <v>16</v>
      </c>
      <c r="Q27" s="65" t="s">
        <v>119</v>
      </c>
      <c r="S27" s="65" t="s">
        <v>120</v>
      </c>
      <c r="T27" s="65" t="s">
        <v>121</v>
      </c>
    </row>
    <row r="28" spans="1:20" s="65" customFormat="1" ht="13" x14ac:dyDescent="0.15">
      <c r="A28" s="64">
        <v>7387</v>
      </c>
      <c r="B28" s="65" t="s">
        <v>72</v>
      </c>
      <c r="C28" s="65" t="s">
        <v>37</v>
      </c>
      <c r="D28" s="65" t="s">
        <v>49</v>
      </c>
      <c r="E28" s="65" t="s">
        <v>45</v>
      </c>
      <c r="F28" s="65" t="s">
        <v>122</v>
      </c>
      <c r="G28" s="64">
        <v>18</v>
      </c>
      <c r="H28" s="65" t="s">
        <v>13</v>
      </c>
      <c r="N28" s="65" t="s">
        <v>123</v>
      </c>
      <c r="S28" s="65" t="s">
        <v>124</v>
      </c>
      <c r="T28" s="65" t="s">
        <v>125</v>
      </c>
    </row>
    <row r="29" spans="1:20" s="65" customFormat="1" ht="13" x14ac:dyDescent="0.15">
      <c r="A29" s="64">
        <v>7386</v>
      </c>
      <c r="B29" s="65" t="s">
        <v>72</v>
      </c>
      <c r="C29" s="65" t="s">
        <v>37</v>
      </c>
      <c r="D29" s="65" t="s">
        <v>38</v>
      </c>
      <c r="E29" s="65" t="s">
        <v>39</v>
      </c>
      <c r="F29" s="65" t="s">
        <v>126</v>
      </c>
      <c r="G29" s="64">
        <v>1</v>
      </c>
      <c r="H29" s="65" t="s">
        <v>9</v>
      </c>
      <c r="J29" s="65" t="s">
        <v>115</v>
      </c>
      <c r="S29" s="65" t="s">
        <v>127</v>
      </c>
      <c r="T29" s="65" t="s">
        <v>128</v>
      </c>
    </row>
    <row r="30" spans="1:20" s="65" customFormat="1" ht="13" x14ac:dyDescent="0.15">
      <c r="A30" s="64">
        <v>7385</v>
      </c>
      <c r="B30" s="65" t="s">
        <v>72</v>
      </c>
      <c r="C30" s="65" t="s">
        <v>37</v>
      </c>
      <c r="D30" s="65" t="s">
        <v>38</v>
      </c>
      <c r="E30" s="65" t="s">
        <v>39</v>
      </c>
      <c r="F30" s="65" t="s">
        <v>126</v>
      </c>
      <c r="G30" s="64">
        <v>1</v>
      </c>
      <c r="H30" s="65" t="s">
        <v>9</v>
      </c>
      <c r="J30" s="65" t="s">
        <v>41</v>
      </c>
      <c r="K30" s="65" t="s">
        <v>47</v>
      </c>
      <c r="S30" s="65" t="s">
        <v>43</v>
      </c>
      <c r="T30" s="65" t="s">
        <v>129</v>
      </c>
    </row>
    <row r="31" spans="1:20" s="65" customFormat="1" ht="13" x14ac:dyDescent="0.15">
      <c r="A31" s="64">
        <v>7384</v>
      </c>
      <c r="B31" s="65" t="s">
        <v>72</v>
      </c>
      <c r="C31" s="65" t="s">
        <v>37</v>
      </c>
      <c r="D31" s="65" t="s">
        <v>49</v>
      </c>
      <c r="E31" s="65" t="s">
        <v>39</v>
      </c>
      <c r="F31" s="65" t="s">
        <v>130</v>
      </c>
      <c r="G31" s="64">
        <v>2</v>
      </c>
      <c r="H31" s="65" t="s">
        <v>17</v>
      </c>
      <c r="R31" s="65" t="s">
        <v>131</v>
      </c>
      <c r="S31" s="65" t="s">
        <v>132</v>
      </c>
      <c r="T31" s="65" t="s">
        <v>133</v>
      </c>
    </row>
    <row r="32" spans="1:20" s="65" customFormat="1" ht="13" x14ac:dyDescent="0.15">
      <c r="A32" s="64">
        <v>7383</v>
      </c>
      <c r="B32" s="65" t="s">
        <v>72</v>
      </c>
      <c r="C32" s="65" t="s">
        <v>37</v>
      </c>
      <c r="D32" s="65" t="s">
        <v>49</v>
      </c>
      <c r="E32" s="65" t="s">
        <v>45</v>
      </c>
      <c r="F32" s="65" t="s">
        <v>134</v>
      </c>
      <c r="G32" s="64">
        <v>9</v>
      </c>
      <c r="H32" s="65" t="s">
        <v>17</v>
      </c>
      <c r="R32" s="65" t="s">
        <v>131</v>
      </c>
      <c r="S32" s="65" t="s">
        <v>132</v>
      </c>
      <c r="T32" s="65" t="s">
        <v>133</v>
      </c>
    </row>
    <row r="33" spans="1:20" s="65" customFormat="1" ht="13" x14ac:dyDescent="0.15">
      <c r="A33" s="64">
        <v>7382</v>
      </c>
      <c r="B33" s="65" t="s">
        <v>72</v>
      </c>
      <c r="C33" s="65" t="s">
        <v>37</v>
      </c>
      <c r="D33" s="65" t="s">
        <v>38</v>
      </c>
      <c r="E33" s="65" t="s">
        <v>39</v>
      </c>
      <c r="F33" s="65" t="s">
        <v>135</v>
      </c>
      <c r="G33" s="64">
        <v>4</v>
      </c>
      <c r="H33" s="65" t="s">
        <v>13</v>
      </c>
      <c r="N33" s="65" t="s">
        <v>123</v>
      </c>
      <c r="S33" s="65" t="s">
        <v>124</v>
      </c>
      <c r="T33" s="65" t="s">
        <v>125</v>
      </c>
    </row>
    <row r="34" spans="1:20" s="65" customFormat="1" ht="13" x14ac:dyDescent="0.15">
      <c r="A34" s="64">
        <v>7381</v>
      </c>
      <c r="B34" s="65" t="s">
        <v>72</v>
      </c>
      <c r="C34" s="65" t="s">
        <v>37</v>
      </c>
      <c r="D34" s="65" t="s">
        <v>38</v>
      </c>
      <c r="E34" s="65" t="s">
        <v>45</v>
      </c>
      <c r="F34" s="65" t="s">
        <v>136</v>
      </c>
      <c r="G34" s="64">
        <v>17</v>
      </c>
      <c r="H34" s="65" t="s">
        <v>13</v>
      </c>
      <c r="N34" s="65" t="s">
        <v>137</v>
      </c>
      <c r="S34" s="65" t="s">
        <v>138</v>
      </c>
      <c r="T34" s="65" t="s">
        <v>139</v>
      </c>
    </row>
    <row r="35" spans="1:20" s="65" customFormat="1" ht="13" x14ac:dyDescent="0.15">
      <c r="A35" s="64">
        <v>7380</v>
      </c>
      <c r="B35" s="65" t="s">
        <v>72</v>
      </c>
      <c r="C35" s="65" t="s">
        <v>37</v>
      </c>
      <c r="D35" s="65" t="s">
        <v>49</v>
      </c>
      <c r="E35" s="65" t="s">
        <v>45</v>
      </c>
      <c r="F35" s="65" t="s">
        <v>140</v>
      </c>
      <c r="G35" s="64">
        <v>12</v>
      </c>
      <c r="H35" s="65" t="s">
        <v>9</v>
      </c>
      <c r="J35" s="65" t="s">
        <v>41</v>
      </c>
      <c r="K35" s="65" t="s">
        <v>141</v>
      </c>
      <c r="S35" s="65" t="s">
        <v>142</v>
      </c>
      <c r="T35" s="65" t="s">
        <v>143</v>
      </c>
    </row>
    <row r="36" spans="1:20" s="65" customFormat="1" ht="13" x14ac:dyDescent="0.15">
      <c r="A36" s="64">
        <v>7379</v>
      </c>
      <c r="B36" s="65" t="s">
        <v>72</v>
      </c>
      <c r="C36" s="65" t="s">
        <v>37</v>
      </c>
      <c r="D36" s="65" t="s">
        <v>38</v>
      </c>
      <c r="E36" s="65" t="s">
        <v>45</v>
      </c>
      <c r="F36" s="65" t="s">
        <v>144</v>
      </c>
      <c r="G36" s="64">
        <v>1</v>
      </c>
      <c r="H36" s="65" t="s">
        <v>11</v>
      </c>
      <c r="L36" s="65" t="s">
        <v>77</v>
      </c>
      <c r="M36" s="65" t="s">
        <v>96</v>
      </c>
      <c r="S36" s="65" t="s">
        <v>97</v>
      </c>
      <c r="T36" s="65" t="s">
        <v>145</v>
      </c>
    </row>
    <row r="37" spans="1:20" s="65" customFormat="1" ht="13" x14ac:dyDescent="0.15">
      <c r="A37" s="64">
        <v>7378</v>
      </c>
      <c r="B37" s="65" t="s">
        <v>72</v>
      </c>
      <c r="C37" s="65" t="s">
        <v>37</v>
      </c>
      <c r="D37" s="65" t="s">
        <v>38</v>
      </c>
      <c r="E37" s="65" t="s">
        <v>45</v>
      </c>
      <c r="F37" s="65" t="s">
        <v>146</v>
      </c>
      <c r="G37" s="64">
        <v>14</v>
      </c>
      <c r="H37" s="65" t="s">
        <v>16</v>
      </c>
      <c r="Q37" s="65" t="s">
        <v>147</v>
      </c>
      <c r="S37" s="65" t="s">
        <v>120</v>
      </c>
      <c r="T37" s="65" t="s">
        <v>148</v>
      </c>
    </row>
    <row r="38" spans="1:20" s="65" customFormat="1" ht="13" x14ac:dyDescent="0.15">
      <c r="A38" s="64">
        <v>7377</v>
      </c>
      <c r="B38" s="65" t="s">
        <v>72</v>
      </c>
      <c r="C38" s="65" t="s">
        <v>37</v>
      </c>
      <c r="D38" s="65" t="s">
        <v>38</v>
      </c>
      <c r="E38" s="65" t="s">
        <v>45</v>
      </c>
      <c r="F38" s="65" t="s">
        <v>149</v>
      </c>
      <c r="G38" s="64">
        <v>7</v>
      </c>
      <c r="H38" s="65" t="s">
        <v>9</v>
      </c>
      <c r="J38" s="65" t="s">
        <v>41</v>
      </c>
      <c r="K38" s="65" t="s">
        <v>150</v>
      </c>
      <c r="S38" s="65" t="s">
        <v>151</v>
      </c>
      <c r="T38" s="65" t="s">
        <v>152</v>
      </c>
    </row>
    <row r="39" spans="1:20" s="65" customFormat="1" ht="13" x14ac:dyDescent="0.15">
      <c r="A39" s="64">
        <v>7375</v>
      </c>
      <c r="B39" s="65" t="s">
        <v>72</v>
      </c>
      <c r="C39" s="65" t="s">
        <v>37</v>
      </c>
      <c r="D39" s="65" t="s">
        <v>38</v>
      </c>
      <c r="E39" s="65" t="s">
        <v>45</v>
      </c>
      <c r="F39" s="65" t="s">
        <v>85</v>
      </c>
      <c r="G39" s="64">
        <v>1</v>
      </c>
      <c r="H39" s="65" t="s">
        <v>9</v>
      </c>
      <c r="J39" s="65" t="s">
        <v>41</v>
      </c>
      <c r="K39" s="65" t="s">
        <v>153</v>
      </c>
      <c r="S39" s="65" t="s">
        <v>127</v>
      </c>
      <c r="T39" s="65" t="s">
        <v>128</v>
      </c>
    </row>
    <row r="40" spans="1:20" s="65" customFormat="1" ht="13" x14ac:dyDescent="0.15">
      <c r="A40" s="64">
        <v>7373</v>
      </c>
      <c r="B40" s="65" t="s">
        <v>72</v>
      </c>
      <c r="C40" s="65" t="s">
        <v>37</v>
      </c>
      <c r="D40" s="65" t="s">
        <v>38</v>
      </c>
      <c r="E40" s="65" t="s">
        <v>45</v>
      </c>
      <c r="F40" s="65" t="s">
        <v>154</v>
      </c>
      <c r="G40" s="64">
        <v>17</v>
      </c>
      <c r="H40" s="65" t="s">
        <v>9</v>
      </c>
      <c r="J40" s="65" t="s">
        <v>41</v>
      </c>
      <c r="K40" s="65" t="s">
        <v>47</v>
      </c>
      <c r="S40" s="65" t="s">
        <v>43</v>
      </c>
      <c r="T40" s="65" t="s">
        <v>155</v>
      </c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7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9">_xlfn._xlws.FILTER('Data Sheet'!A:A,'Data Sheet'!H:H=A2,"NA")</f>
        <v>7488</v>
      </c>
      <c r="B4" s="21" t="str">
        <f>_xlfn.IFNA(VLOOKUP($A4,'Data Sheet'!$A:B,2,FALSE),"NA")</f>
        <v>18/09/2021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Female</v>
      </c>
      <c r="F4" s="23" t="str">
        <f>_xlfn.IFNA(VLOOKUP($A4,'Data Sheet'!$A:F,6,FALSE),"NA")</f>
        <v>02/08/2020</v>
      </c>
      <c r="G4" s="24">
        <f>_xlfn.IFNA(VLOOKUP($A4,'Data Sheet'!$A:G,7,FALSE),"NA")</f>
        <v>1</v>
      </c>
      <c r="H4" s="24" t="str">
        <f>_xlfn.IFNA(VLOOKUP($A4,'Data Sheet'!$A:H,8,FALSE),"NA")</f>
        <v>I. Congenital Malformations of the Respiratory Tract</v>
      </c>
      <c r="I4" s="25" t="str">
        <f>_xlfn.IFNA(VLOOKUP($A4,'Data Sheet'!$A:I,9,FALSE),"NA")</f>
        <v>D. Laryngeal, Tracheal and Esophageal Deformities</v>
      </c>
      <c r="J4" s="24" t="str">
        <f>_xlfn.IFNA(VLOOKUP($A4,'Data Sheet'!$A:S,19,FALSE),"NA")</f>
        <v>Q31.5</v>
      </c>
      <c r="K4" s="25" t="str">
        <f>_xlfn.IFNA(VLOOKUP($A4,'Data Sheet'!$A:T,20,FALSE),"NA")</f>
        <v>Upepr airway obstruction to laryngomalacia</v>
      </c>
    </row>
    <row r="5" spans="1:20" ht="13" x14ac:dyDescent="0.15">
      <c r="A5" s="20">
        <v>7406</v>
      </c>
      <c r="B5" s="21" t="str">
        <f>_xlfn.IFNA(VLOOKUP($A5,'Data Sheet'!$A:B,2,FALSE),"NA")</f>
        <v>17/09/2021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09/09/2021</v>
      </c>
      <c r="G5" s="26">
        <f>_xlfn.IFNA(VLOOKUP($A5,'Data Sheet'!$A:G,7,FALSE),"NA")</f>
        <v>0</v>
      </c>
      <c r="H5" s="26" t="str">
        <f>_xlfn.IFNA(VLOOKUP($A5,'Data Sheet'!$A:H,8,FALSE),"NA")</f>
        <v>I. Congenital Malformations of the Respiratory Tract</v>
      </c>
      <c r="I5" s="29" t="str">
        <f>_xlfn.IFNA(VLOOKUP($A5,'Data Sheet'!$A:I,9,FALSE),"NA")</f>
        <v>B. Thoracic Wall Deformities</v>
      </c>
      <c r="J5" s="26" t="str">
        <f>_xlfn.IFNA(VLOOKUP($A5,'Data Sheet'!$A:S,19,FALSE),"NA")</f>
        <v>M41.9</v>
      </c>
      <c r="K5" s="29" t="str">
        <f>_xlfn.IFNA(VLOOKUP($A5,'Data Sheet'!$A:T,20,FALSE),"NA")</f>
        <v>Restrictive lung disease secondary to scoliosis</v>
      </c>
    </row>
    <row r="6" spans="1:20" ht="13" x14ac:dyDescent="0.15">
      <c r="A6" s="20">
        <v>7405</v>
      </c>
      <c r="B6" s="21" t="str">
        <f>_xlfn.IFNA(VLOOKUP($A6,'Data Sheet'!$A:B,2,FALSE),"NA")</f>
        <v>17/09/2021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13/09/2020</v>
      </c>
      <c r="G6" s="26">
        <f>_xlfn.IFNA(VLOOKUP($A6,'Data Sheet'!$A:G,7,FALSE),"NA")</f>
        <v>1</v>
      </c>
      <c r="H6" s="26" t="str">
        <f>_xlfn.IFNA(VLOOKUP($A6,'Data Sheet'!$A:H,8,FALSE),"NA")</f>
        <v>I. Congenital Malformations of the Respiratory Tract</v>
      </c>
      <c r="I6" s="29" t="str">
        <f>_xlfn.IFNA(VLOOKUP($A6,'Data Sheet'!$A:I,9,FALSE),"NA")</f>
        <v>F. Pulmonary or Lung Parenchymal Deformities</v>
      </c>
      <c r="J6" s="26" t="str">
        <f>_xlfn.IFNA(VLOOKUP($A6,'Data Sheet'!$A:S,19,FALSE),"NA")</f>
        <v>Q33.0</v>
      </c>
      <c r="K6" s="29" t="str">
        <f>_xlfn.IFNA(VLOOKUP($A6,'Data Sheet'!$A:T,20,FALSE),"NA")</f>
        <v>Cystic Lucency, left upper lobe, probably Congenital Thoracic Malformation</v>
      </c>
    </row>
    <row r="7" spans="1:20" ht="13" x14ac:dyDescent="0.15">
      <c r="A7" s="20">
        <v>7398</v>
      </c>
      <c r="B7" s="21" t="str">
        <f>_xlfn.IFNA(VLOOKUP($A7,'Data Sheet'!$A:B,2,FALSE),"NA")</f>
        <v>17/09/2021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Old</v>
      </c>
      <c r="E7" s="22" t="str">
        <f>_xlfn.IFNA(VLOOKUP($A7,'Data Sheet'!$A:E,5,FALSE),"NA")</f>
        <v>Female</v>
      </c>
      <c r="F7" s="23" t="str">
        <f>_xlfn.IFNA(VLOOKUP($A7,'Data Sheet'!$A:F,6,FALSE),"NA")</f>
        <v>23/05/2020</v>
      </c>
      <c r="G7" s="26">
        <f>_xlfn.IFNA(VLOOKUP($A7,'Data Sheet'!$A:G,7,FALSE),"NA")</f>
        <v>1</v>
      </c>
      <c r="H7" s="26" t="str">
        <f>_xlfn.IFNA(VLOOKUP($A7,'Data Sheet'!$A:H,8,FALSE),"NA")</f>
        <v>I. Congenital Malformations of the Respiratory Tract</v>
      </c>
      <c r="I7" s="29" t="str">
        <f>_xlfn.IFNA(VLOOKUP($A7,'Data Sheet'!$A:I,9,FALSE),"NA")</f>
        <v>A. Upper Airway</v>
      </c>
      <c r="J7" s="26" t="str">
        <f>_xlfn.IFNA(VLOOKUP($A7,'Data Sheet'!$A:S,19,FALSE),"NA")</f>
        <v>Q32.0</v>
      </c>
      <c r="K7" s="29" t="str">
        <f>_xlfn.IFNA(VLOOKUP($A7,'Data Sheet'!$A:T,20,FALSE),"NA")</f>
        <v>Tracheomalacia</v>
      </c>
    </row>
    <row r="8" spans="1:20" ht="13" x14ac:dyDescent="0.15">
      <c r="A8" s="20">
        <v>7397</v>
      </c>
      <c r="B8" s="21" t="str">
        <f>_xlfn.IFNA(VLOOKUP($A8,'Data Sheet'!$A:B,2,FALSE),"NA")</f>
        <v>17/09/2021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Old</v>
      </c>
      <c r="E8" s="22" t="str">
        <f>_xlfn.IFNA(VLOOKUP($A8,'Data Sheet'!$A:E,5,FALSE),"NA")</f>
        <v>Female</v>
      </c>
      <c r="F8" s="23" t="str">
        <f>_xlfn.IFNA(VLOOKUP($A8,'Data Sheet'!$A:F,6,FALSE),"NA")</f>
        <v>23/05/2020</v>
      </c>
      <c r="G8" s="26">
        <f>_xlfn.IFNA(VLOOKUP($A8,'Data Sheet'!$A:G,7,FALSE),"NA")</f>
        <v>1</v>
      </c>
      <c r="H8" s="26" t="str">
        <f>_xlfn.IFNA(VLOOKUP($A8,'Data Sheet'!$A:H,8,FALSE),"NA")</f>
        <v>I. Congenital Malformations of the Respiratory Tract</v>
      </c>
      <c r="I8" s="29" t="str">
        <f>_xlfn.IFNA(VLOOKUP($A8,'Data Sheet'!$A:I,9,FALSE),"NA")</f>
        <v>A. Upper Airway</v>
      </c>
      <c r="J8" s="26" t="str">
        <f>_xlfn.IFNA(VLOOKUP($A8,'Data Sheet'!$A:S,19,FALSE),"NA")</f>
        <v>Q32.0</v>
      </c>
      <c r="K8" s="29" t="str">
        <f>_xlfn.IFNA(VLOOKUP($A8,'Data Sheet'!$A:T,20,FALSE),"NA")</f>
        <v>Tracheomalacia</v>
      </c>
    </row>
    <row r="9" spans="1:20" ht="13" x14ac:dyDescent="0.15">
      <c r="A9" s="20">
        <v>7389</v>
      </c>
      <c r="B9" s="21" t="str">
        <f>_xlfn.IFNA(VLOOKUP($A9,'Data Sheet'!$A:B,2,FALSE),"NA")</f>
        <v>17/09/2021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Old</v>
      </c>
      <c r="E9" s="22" t="str">
        <f>_xlfn.IFNA(VLOOKUP($A9,'Data Sheet'!$A:E,5,FALSE),"NA")</f>
        <v>Male</v>
      </c>
      <c r="F9" s="23" t="str">
        <f>_xlfn.IFNA(VLOOKUP($A9,'Data Sheet'!$A:F,6,FALSE),"NA")</f>
        <v>08/03/2020</v>
      </c>
      <c r="G9" s="26">
        <f>_xlfn.IFNA(VLOOKUP($A9,'Data Sheet'!$A:G,7,FALSE),"NA")</f>
        <v>1</v>
      </c>
      <c r="H9" s="26" t="str">
        <f>_xlfn.IFNA(VLOOKUP($A9,'Data Sheet'!$A:H,8,FALSE),"NA")</f>
        <v>I. Congenital Malformations of the Respiratory Tract</v>
      </c>
      <c r="I9" s="29" t="str">
        <f>_xlfn.IFNA(VLOOKUP($A9,'Data Sheet'!$A:I,9,FALSE),"NA")</f>
        <v>D. Laryngeal, Tracheal and Esophageal Deformities</v>
      </c>
      <c r="J9" s="26" t="str">
        <f>_xlfn.IFNA(VLOOKUP($A9,'Data Sheet'!$A:S,19,FALSE),"NA")</f>
        <v>Q32.0</v>
      </c>
      <c r="K9" s="29" t="str">
        <f>_xlfn.IFNA(VLOOKUP($A9,'Data Sheet'!$A:T,20,FALSE),"NA")</f>
        <v>t/c Tracheobronchomalacia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18">_xlfn._xlws.FILTER('Data Sheet'!A:A,'Data Sheet'!H:H=A2,"NA")</f>
        <v>7494</v>
      </c>
      <c r="B4" s="22" t="str">
        <f>_xlfn.IFNA(VLOOKUP($A4,'Data Sheet'!$A:B,2,FALSE),"NA")</f>
        <v>18/09/2021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07/06/2020</v>
      </c>
      <c r="G4" s="24">
        <f>_xlfn.IFNA(VLOOKUP($A4,'Data Sheet'!$A:G,7,FALSE),"NA")</f>
        <v>1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2. Health Care Associated pneumonia</v>
      </c>
      <c r="J4" s="24" t="str">
        <f>_xlfn.IFNA(VLOOKUP($A4,'Data Sheet'!$A:S,19,FALSE),"NA")</f>
        <v>J18.0</v>
      </c>
      <c r="K4" s="25" t="str">
        <f>_xlfn.IFNA(VLOOKUP($A4,'Data Sheet'!$A:T,20,FALSE),"NA")</f>
        <v>Health Care Associated Pneumonia</v>
      </c>
    </row>
    <row r="5" spans="1:20" ht="13" x14ac:dyDescent="0.15">
      <c r="A5" s="20">
        <v>7493</v>
      </c>
      <c r="B5" s="22" t="str">
        <f>_xlfn.IFNA(VLOOKUP($A5,'Data Sheet'!$A:B,2,FALSE),"NA")</f>
        <v>18/09/2021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05/05/2003</v>
      </c>
      <c r="G5" s="26">
        <f>_xlfn.IFNA(VLOOKUP($A5,'Data Sheet'!$A:G,7,FALSE),"NA")</f>
        <v>18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1. Pneumonia, community acquired- (PCAP A, B, C or D)</v>
      </c>
      <c r="J5" s="26" t="str">
        <f>_xlfn.IFNA(VLOOKUP($A5,'Data Sheet'!$A:S,19,FALSE),"NA")</f>
        <v>J18.0</v>
      </c>
      <c r="K5" s="29" t="str">
        <f>_xlfn.IFNA(VLOOKUP($A5,'Data Sheet'!$A:T,20,FALSE),"NA")</f>
        <v>PCAP B</v>
      </c>
    </row>
    <row r="6" spans="1:20" ht="13" x14ac:dyDescent="0.15">
      <c r="A6" s="20">
        <v>7492</v>
      </c>
      <c r="B6" s="22" t="str">
        <f>_xlfn.IFNA(VLOOKUP($A6,'Data Sheet'!$A:B,2,FALSE),"NA")</f>
        <v>18/09/2021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Male</v>
      </c>
      <c r="F6" s="23" t="str">
        <f>_xlfn.IFNA(VLOOKUP($A6,'Data Sheet'!$A:F,6,FALSE),"NA")</f>
        <v>13/08/2005</v>
      </c>
      <c r="G6" s="26">
        <f>_xlfn.IFNA(VLOOKUP($A6,'Data Sheet'!$A:G,7,FALSE),"NA")</f>
        <v>16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9. Extrapulmonary Tuberculosis</v>
      </c>
      <c r="J6" s="26" t="str">
        <f>_xlfn.IFNA(VLOOKUP($A6,'Data Sheet'!$A:S,19,FALSE),"NA")</f>
        <v>A16. 5</v>
      </c>
      <c r="K6" s="29" t="str">
        <f>_xlfn.IFNA(VLOOKUP($A6,'Data Sheet'!$A:T,20,FALSE),"NA")</f>
        <v>Disseminated TB (skin and lungs)</v>
      </c>
    </row>
    <row r="7" spans="1:20" ht="13" x14ac:dyDescent="0.15">
      <c r="A7" s="20">
        <v>7491</v>
      </c>
      <c r="B7" s="22" t="str">
        <f>_xlfn.IFNA(VLOOKUP($A7,'Data Sheet'!$A:B,2,FALSE),"NA")</f>
        <v>18/09/2021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11/11/2013</v>
      </c>
      <c r="G7" s="26">
        <f>_xlfn.IFNA(VLOOKUP($A7,'Data Sheet'!$A:G,7,FALSE),"NA")</f>
        <v>7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1. Pneumonia, community acquired- (PCAP A, B, C or D)</v>
      </c>
      <c r="J7" s="26" t="str">
        <f>_xlfn.IFNA(VLOOKUP($A7,'Data Sheet'!$A:S,19,FALSE),"NA")</f>
        <v>J18.0</v>
      </c>
      <c r="K7" s="29" t="str">
        <f>_xlfn.IFNA(VLOOKUP($A7,'Data Sheet'!$A:T,20,FALSE),"NA")</f>
        <v>Consolidation, Left Lung probably PTB versus pneumonia</v>
      </c>
    </row>
    <row r="8" spans="1:20" ht="13" x14ac:dyDescent="0.15">
      <c r="A8" s="20">
        <v>7490</v>
      </c>
      <c r="B8" s="22" t="str">
        <f>_xlfn.IFNA(VLOOKUP($A8,'Data Sheet'!$A:B,2,FALSE),"NA")</f>
        <v>18/09/2021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Old</v>
      </c>
      <c r="E8" s="22" t="str">
        <f>_xlfn.IFNA(VLOOKUP($A8,'Data Sheet'!$A:E,5,FALSE),"NA")</f>
        <v>Male</v>
      </c>
      <c r="F8" s="23" t="str">
        <f>_xlfn.IFNA(VLOOKUP($A8,'Data Sheet'!$A:F,6,FALSE),"NA")</f>
        <v>25/10/2011</v>
      </c>
      <c r="G8" s="26">
        <f>_xlfn.IFNA(VLOOKUP($A8,'Data Sheet'!$A:G,7,FALSE),"NA")</f>
        <v>9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2. Health Care Associated pneumonia</v>
      </c>
      <c r="J8" s="26" t="str">
        <f>_xlfn.IFNA(VLOOKUP($A8,'Data Sheet'!$A:S,19,FALSE),"NA")</f>
        <v>J18. 9</v>
      </c>
      <c r="K8" s="29" t="str">
        <f>_xlfn.IFNA(VLOOKUP($A8,'Data Sheet'!$A:T,20,FALSE),"NA")</f>
        <v>Health Care Associated Pneumonia</v>
      </c>
    </row>
    <row r="9" spans="1:20" ht="13" x14ac:dyDescent="0.15">
      <c r="A9" s="20">
        <v>7403</v>
      </c>
      <c r="B9" s="22" t="str">
        <f>_xlfn.IFNA(VLOOKUP($A9,'Data Sheet'!$A:B,2,FALSE),"NA")</f>
        <v>17/09/2021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13/05/2020</v>
      </c>
      <c r="G9" s="26">
        <f>_xlfn.IFNA(VLOOKUP($A9,'Data Sheet'!$A:G,7,FALSE),"NA")</f>
        <v>1</v>
      </c>
      <c r="H9" s="29" t="str">
        <f>_xlfn.IFNA(VLOOKUP($A9,'Data Sheet'!$A:J,10,FALSE),"NA")</f>
        <v>B. Lower Respiratory Tract</v>
      </c>
      <c r="I9" s="29" t="str">
        <f>_xlfn.IFNA(VLOOKUP($A9,'Data Sheet'!$A:K,11,FALSE),"NA")</f>
        <v>1. Pneumonia, community acquired- (PCAP A, B, C or D)</v>
      </c>
      <c r="J9" s="26" t="str">
        <f>_xlfn.IFNA(VLOOKUP($A9,'Data Sheet'!$A:S,19,FALSE),"NA")</f>
        <v>J12.9</v>
      </c>
      <c r="K9" s="29" t="str">
        <f>_xlfn.IFNA(VLOOKUP($A9,'Data Sheet'!$A:T,20,FALSE),"NA")</f>
        <v>Covid Pneumonia</v>
      </c>
    </row>
    <row r="10" spans="1:20" ht="13" x14ac:dyDescent="0.15">
      <c r="A10" s="20">
        <v>7396</v>
      </c>
      <c r="B10" s="22" t="str">
        <f>_xlfn.IFNA(VLOOKUP($A10,'Data Sheet'!$A:B,2,FALSE),"NA")</f>
        <v>17/09/2021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Old</v>
      </c>
      <c r="E10" s="22" t="str">
        <f>_xlfn.IFNA(VLOOKUP($A10,'Data Sheet'!$A:E,5,FALSE),"NA")</f>
        <v>Male</v>
      </c>
      <c r="F10" s="23" t="str">
        <f>_xlfn.IFNA(VLOOKUP($A10,'Data Sheet'!$A:F,6,FALSE),"NA")</f>
        <v>25/11/2019</v>
      </c>
      <c r="G10" s="26">
        <f>_xlfn.IFNA(VLOOKUP($A10,'Data Sheet'!$A:G,7,FALSE),"NA")</f>
        <v>1</v>
      </c>
      <c r="H10" s="29" t="str">
        <f>_xlfn.IFNA(VLOOKUP($A10,'Data Sheet'!$A:J,10,FALSE),"NA")</f>
        <v>B. Lower Respiratory Tract</v>
      </c>
      <c r="I10" s="29" t="str">
        <f>_xlfn.IFNA(VLOOKUP($A10,'Data Sheet'!$A:K,11,FALSE),"NA")</f>
        <v>1. Pneumonia, community acquired- (PCAP A, B, C or D)</v>
      </c>
      <c r="J10" s="26" t="str">
        <f>_xlfn.IFNA(VLOOKUP($A10,'Data Sheet'!$A:S,19,FALSE),"NA")</f>
        <v>J18.0</v>
      </c>
      <c r="K10" s="29" t="str">
        <f>_xlfn.IFNA(VLOOKUP($A10,'Data Sheet'!$A:T,20,FALSE),"NA")</f>
        <v>Recurrent Pneumonia secondary to Aspiration secondary to Gastroesophageal Reflux</v>
      </c>
    </row>
    <row r="11" spans="1:20" ht="13" x14ac:dyDescent="0.15">
      <c r="A11" s="20">
        <v>7393</v>
      </c>
      <c r="B11" s="22" t="str">
        <f>_xlfn.IFNA(VLOOKUP($A11,'Data Sheet'!$A:B,2,FALSE),"NA")</f>
        <v>17/09/2021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Old</v>
      </c>
      <c r="E11" s="22" t="str">
        <f>_xlfn.IFNA(VLOOKUP($A11,'Data Sheet'!$A:E,5,FALSE),"NA")</f>
        <v>Male</v>
      </c>
      <c r="F11" s="23" t="str">
        <f>_xlfn.IFNA(VLOOKUP($A11,'Data Sheet'!$A:F,6,FALSE),"NA")</f>
        <v>08/05/2020</v>
      </c>
      <c r="G11" s="26">
        <f>_xlfn.IFNA(VLOOKUP($A11,'Data Sheet'!$A:G,7,FALSE),"NA")</f>
        <v>1</v>
      </c>
      <c r="H11" s="29" t="str">
        <f>_xlfn.IFNA(VLOOKUP($A11,'Data Sheet'!$A:J,10,FALSE),"NA")</f>
        <v>A. Upper Respiratory Tract</v>
      </c>
      <c r="I11" s="29">
        <f>_xlfn.IFNA(VLOOKUP($A11,'Data Sheet'!$A:K,11,FALSE),"NA")</f>
        <v>0</v>
      </c>
      <c r="J11" s="26" t="str">
        <f>_xlfn.IFNA(VLOOKUP($A11,'Data Sheet'!$A:S,19,FALSE),"NA")</f>
        <v>J12.9</v>
      </c>
      <c r="K11" s="29" t="str">
        <f>_xlfn.IFNA(VLOOKUP($A11,'Data Sheet'!$A:T,20,FALSE),"NA")</f>
        <v>Covid Pneumonia</v>
      </c>
    </row>
    <row r="12" spans="1:20" ht="13" x14ac:dyDescent="0.15">
      <c r="A12" s="20">
        <v>7392</v>
      </c>
      <c r="B12" s="22" t="str">
        <f>_xlfn.IFNA(VLOOKUP($A12,'Data Sheet'!$A:B,2,FALSE),"NA")</f>
        <v>17/09/2021</v>
      </c>
      <c r="C12" s="22" t="str">
        <f>_xlfn.IFNA(VLOOKUP($A12,'Data Sheet'!$A:C,3,FALSE),"NA")</f>
        <v>pcmc.registry</v>
      </c>
      <c r="D12" s="22" t="str">
        <f>_xlfn.IFNA(VLOOKUP($A12,'Data Sheet'!$A:D,4,FALSE),"NA")</f>
        <v>Old</v>
      </c>
      <c r="E12" s="22" t="str">
        <f>_xlfn.IFNA(VLOOKUP($A12,'Data Sheet'!$A:E,5,FALSE),"NA")</f>
        <v>Male</v>
      </c>
      <c r="F12" s="23" t="str">
        <f>_xlfn.IFNA(VLOOKUP($A12,'Data Sheet'!$A:F,6,FALSE),"NA")</f>
        <v>14/06/2020</v>
      </c>
      <c r="G12" s="26">
        <f>_xlfn.IFNA(VLOOKUP($A12,'Data Sheet'!$A:G,7,FALSE),"NA")</f>
        <v>1</v>
      </c>
      <c r="H12" s="29" t="str">
        <f>_xlfn.IFNA(VLOOKUP($A12,'Data Sheet'!$A:J,10,FALSE),"NA")</f>
        <v>B. Lower Respiratory Tract</v>
      </c>
      <c r="I12" s="29" t="str">
        <f>_xlfn.IFNA(VLOOKUP($A12,'Data Sheet'!$A:K,11,FALSE),"NA")</f>
        <v>1. Pneumonia, community acquired- (PCAP A, B, C or D)</v>
      </c>
      <c r="J12" s="26" t="str">
        <f>_xlfn.IFNA(VLOOKUP($A12,'Data Sheet'!$A:S,19,FALSE),"NA")</f>
        <v>J18.0</v>
      </c>
      <c r="K12" s="29" t="str">
        <f>_xlfn.IFNA(VLOOKUP($A12,'Data Sheet'!$A:T,20,FALSE),"NA")</f>
        <v>Health Care Associated Pneumonia</v>
      </c>
    </row>
    <row r="13" spans="1:20" ht="13" x14ac:dyDescent="0.15">
      <c r="A13" s="20">
        <v>7386</v>
      </c>
      <c r="B13" s="22" t="str">
        <f>_xlfn.IFNA(VLOOKUP($A13,'Data Sheet'!$A:B,2,FALSE),"NA")</f>
        <v>17/09/2021</v>
      </c>
      <c r="C13" s="22" t="str">
        <f>_xlfn.IFNA(VLOOKUP($A13,'Data Sheet'!$A:C,3,FALSE),"NA")</f>
        <v>pcmc.registry</v>
      </c>
      <c r="D13" s="22" t="str">
        <f>_xlfn.IFNA(VLOOKUP($A13,'Data Sheet'!$A:D,4,FALSE),"NA")</f>
        <v>New</v>
      </c>
      <c r="E13" s="22" t="str">
        <f>_xlfn.IFNA(VLOOKUP($A13,'Data Sheet'!$A:E,5,FALSE),"NA")</f>
        <v>Male</v>
      </c>
      <c r="F13" s="23" t="str">
        <f>_xlfn.IFNA(VLOOKUP($A13,'Data Sheet'!$A:F,6,FALSE),"NA")</f>
        <v>11/04/2020</v>
      </c>
      <c r="G13" s="26">
        <f>_xlfn.IFNA(VLOOKUP($A13,'Data Sheet'!$A:G,7,FALSE),"NA")</f>
        <v>1</v>
      </c>
      <c r="H13" s="29" t="str">
        <f>_xlfn.IFNA(VLOOKUP($A13,'Data Sheet'!$A:J,10,FALSE),"NA")</f>
        <v>A. Upper Respiratory Tract</v>
      </c>
      <c r="I13" s="29">
        <f>_xlfn.IFNA(VLOOKUP($A13,'Data Sheet'!$A:K,11,FALSE),"NA")</f>
        <v>0</v>
      </c>
      <c r="J13" s="26" t="str">
        <f>_xlfn.IFNA(VLOOKUP($A13,'Data Sheet'!$A:S,19,FALSE),"NA")</f>
        <v>A15</v>
      </c>
      <c r="K13" s="29" t="str">
        <f>_xlfn.IFNA(VLOOKUP($A13,'Data Sheet'!$A:T,20,FALSE),"NA")</f>
        <v>Pulmonary Tuberculosis</v>
      </c>
    </row>
    <row r="14" spans="1:20" ht="13" x14ac:dyDescent="0.15">
      <c r="A14" s="20">
        <v>7385</v>
      </c>
      <c r="B14" s="22" t="str">
        <f>_xlfn.IFNA(VLOOKUP($A14,'Data Sheet'!$A:B,2,FALSE),"NA")</f>
        <v>17/09/2021</v>
      </c>
      <c r="C14" s="22" t="str">
        <f>_xlfn.IFNA(VLOOKUP($A14,'Data Sheet'!$A:C,3,FALSE),"NA")</f>
        <v>pcmc.registry</v>
      </c>
      <c r="D14" s="22" t="str">
        <f>_xlfn.IFNA(VLOOKUP($A14,'Data Sheet'!$A:D,4,FALSE),"NA")</f>
        <v>New</v>
      </c>
      <c r="E14" s="22" t="str">
        <f>_xlfn.IFNA(VLOOKUP($A14,'Data Sheet'!$A:E,5,FALSE),"NA")</f>
        <v>Male</v>
      </c>
      <c r="F14" s="23" t="str">
        <f>_xlfn.IFNA(VLOOKUP($A14,'Data Sheet'!$A:F,6,FALSE),"NA")</f>
        <v>11/04/2020</v>
      </c>
      <c r="G14" s="26">
        <f>_xlfn.IFNA(VLOOKUP($A14,'Data Sheet'!$A:G,7,FALSE),"NA")</f>
        <v>1</v>
      </c>
      <c r="H14" s="29" t="str">
        <f>_xlfn.IFNA(VLOOKUP($A14,'Data Sheet'!$A:J,10,FALSE),"NA")</f>
        <v>B. Lower Respiratory Tract</v>
      </c>
      <c r="I14" s="29" t="str">
        <f>_xlfn.IFNA(VLOOKUP($A14,'Data Sheet'!$A:K,11,FALSE),"NA")</f>
        <v>1. Pneumonia, community acquired- (PCAP A, B, C or D)</v>
      </c>
      <c r="J14" s="26" t="str">
        <f>_xlfn.IFNA(VLOOKUP($A14,'Data Sheet'!$A:S,19,FALSE),"NA")</f>
        <v>J18.0</v>
      </c>
      <c r="K14" s="29" t="str">
        <f>_xlfn.IFNA(VLOOKUP($A14,'Data Sheet'!$A:T,20,FALSE),"NA")</f>
        <v>Necrotizing Pneumonia</v>
      </c>
    </row>
    <row r="15" spans="1:20" ht="13" x14ac:dyDescent="0.15">
      <c r="A15" s="20">
        <v>7380</v>
      </c>
      <c r="B15" s="22" t="str">
        <f>_xlfn.IFNA(VLOOKUP($A15,'Data Sheet'!$A:B,2,FALSE),"NA")</f>
        <v>17/09/2021</v>
      </c>
      <c r="C15" s="22" t="str">
        <f>_xlfn.IFNA(VLOOKUP($A15,'Data Sheet'!$A:C,3,FALSE),"NA")</f>
        <v>pcmc.registry</v>
      </c>
      <c r="D15" s="22" t="str">
        <f>_xlfn.IFNA(VLOOKUP($A15,'Data Sheet'!$A:D,4,FALSE),"NA")</f>
        <v>Old</v>
      </c>
      <c r="E15" s="22" t="str">
        <f>_xlfn.IFNA(VLOOKUP($A15,'Data Sheet'!$A:E,5,FALSE),"NA")</f>
        <v>Female</v>
      </c>
      <c r="F15" s="23" t="str">
        <f>_xlfn.IFNA(VLOOKUP($A15,'Data Sheet'!$A:F,6,FALSE),"NA")</f>
        <v>07/09/2009</v>
      </c>
      <c r="G15" s="26">
        <f>_xlfn.IFNA(VLOOKUP($A15,'Data Sheet'!$A:G,7,FALSE),"NA")</f>
        <v>12</v>
      </c>
      <c r="H15" s="29" t="str">
        <f>_xlfn.IFNA(VLOOKUP($A15,'Data Sheet'!$A:J,10,FALSE),"NA")</f>
        <v>B. Lower Respiratory Tract</v>
      </c>
      <c r="I15" s="29" t="str">
        <f>_xlfn.IFNA(VLOOKUP($A15,'Data Sheet'!$A:K,11,FALSE),"NA")</f>
        <v>5. Recurrent or Persistent Pneumonia</v>
      </c>
      <c r="J15" s="26" t="str">
        <f>_xlfn.IFNA(VLOOKUP($A15,'Data Sheet'!$A:S,19,FALSE),"NA")</f>
        <v>Z87.01</v>
      </c>
      <c r="K15" s="29" t="str">
        <f>_xlfn.IFNA(VLOOKUP($A15,'Data Sheet'!$A:T,20,FALSE),"NA")</f>
        <v>Recurrent pneumonia secondary to Aspiration</v>
      </c>
    </row>
    <row r="16" spans="1:20" ht="13" x14ac:dyDescent="0.15">
      <c r="A16" s="20">
        <v>7377</v>
      </c>
      <c r="B16" s="22" t="str">
        <f>_xlfn.IFNA(VLOOKUP($A16,'Data Sheet'!$A:B,2,FALSE),"NA")</f>
        <v>17/09/2021</v>
      </c>
      <c r="C16" s="22" t="str">
        <f>_xlfn.IFNA(VLOOKUP($A16,'Data Sheet'!$A:C,3,FALSE),"NA")</f>
        <v>pcmc.registry</v>
      </c>
      <c r="D16" s="22" t="str">
        <f>_xlfn.IFNA(VLOOKUP($A16,'Data Sheet'!$A:D,4,FALSE),"NA")</f>
        <v>New</v>
      </c>
      <c r="E16" s="22" t="str">
        <f>_xlfn.IFNA(VLOOKUP($A16,'Data Sheet'!$A:E,5,FALSE),"NA")</f>
        <v>Female</v>
      </c>
      <c r="F16" s="23" t="str">
        <f>_xlfn.IFNA(VLOOKUP($A16,'Data Sheet'!$A:F,6,FALSE),"NA")</f>
        <v>26/07/2014</v>
      </c>
      <c r="G16" s="26">
        <f>_xlfn.IFNA(VLOOKUP($A16,'Data Sheet'!$A:G,7,FALSE),"NA")</f>
        <v>7</v>
      </c>
      <c r="H16" s="29" t="str">
        <f>_xlfn.IFNA(VLOOKUP($A16,'Data Sheet'!$A:J,10,FALSE),"NA")</f>
        <v>B. Lower Respiratory Tract</v>
      </c>
      <c r="I16" s="29" t="str">
        <f>_xlfn.IFNA(VLOOKUP($A16,'Data Sheet'!$A:K,11,FALSE),"NA")</f>
        <v>4. Pneumonia with atelactasis, consolidation or parapneumonic effusion</v>
      </c>
      <c r="J16" s="26" t="str">
        <f>_xlfn.IFNA(VLOOKUP($A16,'Data Sheet'!$A:S,19,FALSE),"NA")</f>
        <v>J18</v>
      </c>
      <c r="K16" s="29" t="str">
        <f>_xlfn.IFNA(VLOOKUP($A16,'Data Sheet'!$A:T,20,FALSE),"NA")</f>
        <v>HCAP with consolidation, right</v>
      </c>
    </row>
    <row r="17" spans="1:11" ht="13" x14ac:dyDescent="0.15">
      <c r="A17" s="20">
        <v>7375</v>
      </c>
      <c r="B17" s="22" t="str">
        <f>_xlfn.IFNA(VLOOKUP($A17,'Data Sheet'!$A:B,2,FALSE),"NA")</f>
        <v>17/09/2021</v>
      </c>
      <c r="C17" s="22" t="str">
        <f>_xlfn.IFNA(VLOOKUP($A17,'Data Sheet'!$A:C,3,FALSE),"NA")</f>
        <v>pcmc.registry</v>
      </c>
      <c r="D17" s="22" t="str">
        <f>_xlfn.IFNA(VLOOKUP($A17,'Data Sheet'!$A:D,4,FALSE),"NA")</f>
        <v>New</v>
      </c>
      <c r="E17" s="22" t="str">
        <f>_xlfn.IFNA(VLOOKUP($A17,'Data Sheet'!$A:E,5,FALSE),"NA")</f>
        <v>Female</v>
      </c>
      <c r="F17" s="23" t="str">
        <f>_xlfn.IFNA(VLOOKUP($A17,'Data Sheet'!$A:F,6,FALSE),"NA")</f>
        <v>13/09/2020</v>
      </c>
      <c r="G17" s="26">
        <f>_xlfn.IFNA(VLOOKUP($A17,'Data Sheet'!$A:G,7,FALSE),"NA")</f>
        <v>1</v>
      </c>
      <c r="H17" s="29" t="str">
        <f>_xlfn.IFNA(VLOOKUP($A17,'Data Sheet'!$A:J,10,FALSE),"NA")</f>
        <v>B. Lower Respiratory Tract</v>
      </c>
      <c r="I17" s="29" t="str">
        <f>_xlfn.IFNA(VLOOKUP($A17,'Data Sheet'!$A:K,11,FALSE),"NA")</f>
        <v>8 Pulmonary Tuberculosis (Exposure, Latent TB infection, TB Disease)</v>
      </c>
      <c r="J17" s="26" t="str">
        <f>_xlfn.IFNA(VLOOKUP($A17,'Data Sheet'!$A:S,19,FALSE),"NA")</f>
        <v>A15</v>
      </c>
      <c r="K17" s="29" t="str">
        <f>_xlfn.IFNA(VLOOKUP($A17,'Data Sheet'!$A:T,20,FALSE),"NA")</f>
        <v>Pulmonary Tuberculosis</v>
      </c>
    </row>
    <row r="18" spans="1:11" ht="13" x14ac:dyDescent="0.15">
      <c r="A18" s="20">
        <v>7373</v>
      </c>
      <c r="B18" s="22" t="str">
        <f>_xlfn.IFNA(VLOOKUP($A18,'Data Sheet'!$A:B,2,FALSE),"NA")</f>
        <v>17/09/2021</v>
      </c>
      <c r="C18" s="22" t="str">
        <f>_xlfn.IFNA(VLOOKUP($A18,'Data Sheet'!$A:C,3,FALSE),"NA")</f>
        <v>pcmc.registry</v>
      </c>
      <c r="D18" s="22" t="str">
        <f>_xlfn.IFNA(VLOOKUP($A18,'Data Sheet'!$A:D,4,FALSE),"NA")</f>
        <v>New</v>
      </c>
      <c r="E18" s="22" t="str">
        <f>_xlfn.IFNA(VLOOKUP($A18,'Data Sheet'!$A:E,5,FALSE),"NA")</f>
        <v>Female</v>
      </c>
      <c r="F18" s="23" t="str">
        <f>_xlfn.IFNA(VLOOKUP($A18,'Data Sheet'!$A:F,6,FALSE),"NA")</f>
        <v>16/04/2004</v>
      </c>
      <c r="G18" s="26">
        <f>_xlfn.IFNA(VLOOKUP($A18,'Data Sheet'!$A:G,7,FALSE),"NA")</f>
        <v>17</v>
      </c>
      <c r="H18" s="29" t="str">
        <f>_xlfn.IFNA(VLOOKUP($A18,'Data Sheet'!$A:J,10,FALSE),"NA")</f>
        <v>B. Lower Respiratory Tract</v>
      </c>
      <c r="I18" s="29" t="str">
        <f>_xlfn.IFNA(VLOOKUP($A18,'Data Sheet'!$A:K,11,FALSE),"NA")</f>
        <v>1. Pneumonia, community acquired- (PCAP A, B, C or D)</v>
      </c>
      <c r="J18" s="26" t="str">
        <f>_xlfn.IFNA(VLOOKUP($A18,'Data Sheet'!$A:S,19,FALSE),"NA")</f>
        <v>J18.0</v>
      </c>
      <c r="K18" s="29" t="str">
        <f>_xlfn.IFNA(VLOOKUP($A18,'Data Sheet'!$A:T,20,FALSE),"NA")</f>
        <v>Pneumonia, PCAP-D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8">_xlfn._xlws.FILTER('Data Sheet'!A:A,'Data Sheet'!H:H=A2,"NA")</f>
        <v>7407</v>
      </c>
      <c r="B4" s="21" t="str">
        <f>_xlfn.IFNA(VLOOKUP($A4,'Data Sheet'!$A:B,2,FALSE),"NA")</f>
        <v>17/09/2021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02/05/2002</v>
      </c>
      <c r="G4" s="24">
        <f>_xlfn.IFNA(VLOOKUP($A4,'Data Sheet'!$A:G,7,FALSE),"NA")</f>
        <v>19</v>
      </c>
      <c r="H4" s="25" t="str">
        <f>_xlfn.IFNA(VLOOKUP($A4,'Data Sheet'!$A:L,12,FALSE),"NA")</f>
        <v>A. Pleural effusion</v>
      </c>
      <c r="I4" s="24" t="str">
        <f>_xlfn.IFNA(VLOOKUP($A4,'Data Sheet'!$A:S,19,FALSE),"NA")</f>
        <v>J91.0</v>
      </c>
      <c r="J4" s="25" t="str">
        <f>_xlfn.IFNA(VLOOKUP($A4,'Data Sheet'!$A:T,20,FALSE),"NA")</f>
        <v>Malignant Plerural effusion versus metastasis, left lung</v>
      </c>
    </row>
    <row r="5" spans="1:19" ht="13" x14ac:dyDescent="0.15">
      <c r="A5" s="20">
        <v>7402</v>
      </c>
      <c r="B5" s="21" t="str">
        <f>_xlfn.IFNA(VLOOKUP($A5,'Data Sheet'!$A:B,2,FALSE),"NA")</f>
        <v>17/09/2021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13/03/2020</v>
      </c>
      <c r="G5" s="26">
        <f>_xlfn.IFNA(VLOOKUP($A5,'Data Sheet'!$A:G,7,FALSE),"NA")</f>
        <v>1</v>
      </c>
      <c r="H5" s="29" t="str">
        <f>_xlfn.IFNA(VLOOKUP($A5,'Data Sheet'!$A:L,12,FALSE),"NA")</f>
        <v>A. Pleural effusion</v>
      </c>
      <c r="I5" s="26" t="str">
        <f>_xlfn.IFNA(VLOOKUP($A5,'Data Sheet'!$A:S,19,FALSE),"NA")</f>
        <v>J90</v>
      </c>
      <c r="J5" s="29" t="str">
        <f>_xlfn.IFNA(VLOOKUP($A5,'Data Sheet'!$A:T,20,FALSE),"NA")</f>
        <v>Empyema Thoracis, right (MRSA)</v>
      </c>
    </row>
    <row r="6" spans="1:19" ht="13" x14ac:dyDescent="0.15">
      <c r="A6" s="20">
        <v>7401</v>
      </c>
      <c r="B6" s="21" t="str">
        <f>_xlfn.IFNA(VLOOKUP($A6,'Data Sheet'!$A:B,2,FALSE),"NA")</f>
        <v>17/09/2021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03/09/2020</v>
      </c>
      <c r="G6" s="26">
        <f>_xlfn.IFNA(VLOOKUP($A6,'Data Sheet'!$A:G,7,FALSE),"NA")</f>
        <v>1</v>
      </c>
      <c r="H6" s="29" t="str">
        <f>_xlfn.IFNA(VLOOKUP($A6,'Data Sheet'!$A:L,12,FALSE),"NA")</f>
        <v>A. Pleural effusion</v>
      </c>
      <c r="I6" s="26" t="str">
        <f>_xlfn.IFNA(VLOOKUP($A6,'Data Sheet'!$A:S,19,FALSE),"NA")</f>
        <v>J91</v>
      </c>
      <c r="J6" s="29" t="str">
        <f>_xlfn.IFNA(VLOOKUP($A6,'Data Sheet'!$A:T,20,FALSE),"NA")</f>
        <v>Pleural Effusion left, probably transudative Congenital Heart Disease</v>
      </c>
    </row>
    <row r="7" spans="1:19" ht="13" x14ac:dyDescent="0.15">
      <c r="A7" s="20">
        <v>7400</v>
      </c>
      <c r="B7" s="21" t="str">
        <f>_xlfn.IFNA(VLOOKUP($A7,'Data Sheet'!$A:B,2,FALSE),"NA")</f>
        <v>17/09/2021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03/11/2006</v>
      </c>
      <c r="G7" s="26">
        <f>_xlfn.IFNA(VLOOKUP($A7,'Data Sheet'!$A:G,7,FALSE),"NA")</f>
        <v>14</v>
      </c>
      <c r="H7" s="29" t="str">
        <f>_xlfn.IFNA(VLOOKUP($A7,'Data Sheet'!$A:L,12,FALSE),"NA")</f>
        <v>B. Pneumothorax- including primary spontaneous and those with secondary causes</v>
      </c>
      <c r="I7" s="26" t="str">
        <f>_xlfn.IFNA(VLOOKUP($A7,'Data Sheet'!$A:S,19,FALSE),"NA")</f>
        <v>J93</v>
      </c>
      <c r="J7" s="29" t="str">
        <f>_xlfn.IFNA(VLOOKUP($A7,'Data Sheet'!$A:T,20,FALSE),"NA")</f>
        <v>Secondary Pneumothorax, tension Rhabdomyosarcoma</v>
      </c>
    </row>
    <row r="8" spans="1:19" ht="13" x14ac:dyDescent="0.15">
      <c r="A8" s="20">
        <v>7379</v>
      </c>
      <c r="B8" s="21" t="str">
        <f>_xlfn.IFNA(VLOOKUP($A8,'Data Sheet'!$A:B,2,FALSE),"NA")</f>
        <v>17/09/2021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New</v>
      </c>
      <c r="E8" s="22" t="str">
        <f>_xlfn.IFNA(VLOOKUP($A8,'Data Sheet'!$A:E,5,FALSE),"NA")</f>
        <v>Female</v>
      </c>
      <c r="F8" s="23" t="str">
        <f>_xlfn.IFNA(VLOOKUP($A8,'Data Sheet'!$A:F,6,FALSE),"NA")</f>
        <v>07/12/2019</v>
      </c>
      <c r="G8" s="26">
        <f>_xlfn.IFNA(VLOOKUP($A8,'Data Sheet'!$A:G,7,FALSE),"NA")</f>
        <v>1</v>
      </c>
      <c r="H8" s="29" t="str">
        <f>_xlfn.IFNA(VLOOKUP($A8,'Data Sheet'!$A:L,12,FALSE),"NA")</f>
        <v>A. Pleural effusion</v>
      </c>
      <c r="I8" s="26" t="str">
        <f>_xlfn.IFNA(VLOOKUP($A8,'Data Sheet'!$A:S,19,FALSE),"NA")</f>
        <v>J90</v>
      </c>
      <c r="J8" s="29" t="str">
        <f>_xlfn.IFNA(VLOOKUP($A8,'Data Sheet'!$A:T,20,FALSE),"NA")</f>
        <v>Parapneumonic, pleural Effusion, Left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6">_xlfn._xlws.FILTER('Data Sheet'!A:A,'Data Sheet'!H:H=A2,"NA")</f>
        <v>7387</v>
      </c>
      <c r="B4" s="21" t="str">
        <f>_xlfn.IFNA(VLOOKUP($A4,'Data Sheet'!$A:B,2,FALSE),"NA")</f>
        <v>17/09/2021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Female</v>
      </c>
      <c r="F4" s="23" t="str">
        <f>_xlfn.IFNA(VLOOKUP($A4,'Data Sheet'!$A:F,6,FALSE),"NA")</f>
        <v>26/04/2003</v>
      </c>
      <c r="G4" s="24">
        <f>_xlfn.IFNA(VLOOKUP($A4,'Data Sheet'!$A:G,7,FALSE),"NA")</f>
        <v>18</v>
      </c>
      <c r="H4" s="29" t="str">
        <f>_xlfn.IFNA(VLOOKUP($A4,'Data Sheet'!$A:N,14,FALSE),"NA")</f>
        <v>A. Bronchial Asthma</v>
      </c>
      <c r="I4" s="29">
        <f>_xlfn.IFNA(VLOOKUP($A4,'Data Sheet'!$A:O,15,FALSE),"NA")</f>
        <v>0</v>
      </c>
      <c r="J4" s="24" t="str">
        <f>_xlfn.IFNA(VLOOKUP($A4,'Data Sheet'!$A:S,19,FALSE),"NA")</f>
        <v>J45</v>
      </c>
      <c r="K4" s="25" t="str">
        <f>_xlfn.IFNA(VLOOKUP($A4,'Data Sheet'!$A:T,20,FALSE),"NA")</f>
        <v>Bronchial Asthma</v>
      </c>
    </row>
    <row r="5" spans="1:20" ht="13" x14ac:dyDescent="0.15">
      <c r="A5" s="20">
        <v>7382</v>
      </c>
      <c r="B5" s="21" t="str">
        <f>_xlfn.IFNA(VLOOKUP($A5,'Data Sheet'!$A:B,2,FALSE),"NA")</f>
        <v>17/09/2021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18/06/2017</v>
      </c>
      <c r="G5" s="26">
        <f>_xlfn.IFNA(VLOOKUP($A5,'Data Sheet'!$A:G,7,FALSE),"NA")</f>
        <v>4</v>
      </c>
      <c r="H5" s="29" t="str">
        <f>_xlfn.IFNA(VLOOKUP($A5,'Data Sheet'!$A:N,14,FALSE),"NA")</f>
        <v>A. Bronchial Asthma</v>
      </c>
      <c r="I5" s="29">
        <f>_xlfn.IFNA(VLOOKUP($A5,'Data Sheet'!$A:O,15,FALSE),"NA")</f>
        <v>0</v>
      </c>
      <c r="J5" s="26" t="str">
        <f>_xlfn.IFNA(VLOOKUP($A5,'Data Sheet'!$A:S,19,FALSE),"NA")</f>
        <v>J45</v>
      </c>
      <c r="K5" s="29" t="str">
        <f>_xlfn.IFNA(VLOOKUP($A5,'Data Sheet'!$A:T,20,FALSE),"NA")</f>
        <v>Bronchial Asthma</v>
      </c>
    </row>
    <row r="6" spans="1:20" ht="13" x14ac:dyDescent="0.15">
      <c r="A6" s="20">
        <v>7381</v>
      </c>
      <c r="B6" s="21" t="str">
        <f>_xlfn.IFNA(VLOOKUP($A6,'Data Sheet'!$A:B,2,FALSE),"NA")</f>
        <v>17/09/2021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17/09/2004</v>
      </c>
      <c r="G6" s="26">
        <f>_xlfn.IFNA(VLOOKUP($A6,'Data Sheet'!$A:G,7,FALSE),"NA")</f>
        <v>17</v>
      </c>
      <c r="H6" s="29" t="str">
        <f>_xlfn.IFNA(VLOOKUP($A6,'Data Sheet'!$A:N,14,FALSE),"NA")</f>
        <v>B. Acute Respiratory Distress Syndrome (ARDS)</v>
      </c>
      <c r="I6" s="29">
        <f>_xlfn.IFNA(VLOOKUP($A6,'Data Sheet'!$A:O,15,FALSE),"NA")</f>
        <v>0</v>
      </c>
      <c r="J6" s="26" t="str">
        <f>_xlfn.IFNA(VLOOKUP($A6,'Data Sheet'!$A:S,19,FALSE),"NA")</f>
        <v>J80</v>
      </c>
      <c r="K6" s="29" t="str">
        <f>_xlfn.IFNA(VLOOKUP($A6,'Data Sheet'!$A:T,20,FALSE),"NA")</f>
        <v>Pediatric Acute Respiratory Syndrome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Claire Sarmiento</cp:lastModifiedBy>
  <dcterms:created xsi:type="dcterms:W3CDTF">2021-09-18T13:32:29Z</dcterms:created>
  <dcterms:modified xsi:type="dcterms:W3CDTF">2021-09-18T13:32:52Z</dcterms:modified>
</cp:coreProperties>
</file>