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/>
  <mc:AlternateContent xmlns:mc="http://schemas.openxmlformats.org/markup-compatibility/2006">
    <mc:Choice Requires="x15">
      <x15ac:absPath xmlns:x15ac="http://schemas.microsoft.com/office/spreadsheetml/2010/11/ac" url="/Users/mervyntan/Downloads/"/>
    </mc:Choice>
  </mc:AlternateContent>
  <xr:revisionPtr revIDLastSave="0" documentId="13_ncr:1_{A1609435-1411-7D41-AED6-29F7A78E79BA}" xr6:coauthVersionLast="47" xr6:coauthVersionMax="47" xr10:uidLastSave="{00000000-0000-0000-0000-000000000000}"/>
  <bookViews>
    <workbookView xWindow="3860" yWindow="386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<sst xmlns="http://schemas.openxmlformats.org/spreadsheetml/2006/main" count="259" uniqueCount="74">
  <si>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</si>
  <si>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</si>
  <si>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</si>
  <si>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</si>
  <si>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</si>
  <si>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</si>
  <si>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</si>
  <si>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</si>
  <si>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</si>
  <si>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</si>
  <si>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</si>
  <si>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</si>
  <si>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</si>
  <si>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</si>
  <si>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</si>
  <si>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</si>
  <si>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</si>
  <si>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</si>
  <si>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</si>
  <si>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</si>
  <si>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</si>
  <si>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</si>
  <si>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</si>
  <si>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</si>
  <si>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</si>
  <si>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</si>
  <si>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</si>
  <si>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</si>
  <si>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</si>
  <si>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</si>
  <si>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</si>
  <si>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</si>
  <si>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</si>
  <si>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</si>
  <si>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</si>
  <si>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</si>
  <si>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16/11/2021</t>
  </si>
  <si>
    <t>ust.registry</t>
  </si>
  <si>
    <t>New</t>
  </si>
  <si>
    <t>Female</t>
  </si>
  <si>
    <t>01/10/2021</t>
  </si>
  <si>
    <t>E. Gastroesophageal Reflux Disease</t>
  </si>
  <si>
    <t>K21.9</t>
  </si>
  <si>
    <t>Gastroesophageal Reflux Disease</t>
  </si>
  <si>
    <t>P23.9</t>
  </si>
  <si>
    <t>Neonatal Pneumonia</t>
  </si>
  <si>
    <t>D. Laryngeal, Tracheal and Esophageal Deformities</t>
  </si>
  <si>
    <t>Q31.5</t>
  </si>
  <si>
    <t>Layngomalacia</t>
  </si>
  <si>
    <t>Male</t>
  </si>
  <si>
    <t>05/09/2004</t>
  </si>
  <si>
    <t>B. Lower Respiratory Tract</t>
  </si>
  <si>
    <t>1. Pneumonia, community acquired- (PCAP A, B, C or D)</t>
  </si>
  <si>
    <t>J12.82</t>
  </si>
  <si>
    <t>COVID-19, Severe</t>
  </si>
  <si>
    <t>8 Pulmonary Tuberculosis (Exposure, Latent TB infection, TB Disease)</t>
  </si>
  <si>
    <t>A17.0</t>
  </si>
  <si>
    <t>Tuberculous Meningitis</t>
  </si>
  <si>
    <t>A15</t>
  </si>
  <si>
    <t>Pulmonary Tuberculosis</t>
  </si>
  <si>
    <t>28/07/2008</t>
  </si>
  <si>
    <t>D. Preoperative Risk Assesment (z01.81)</t>
  </si>
  <si>
    <t>Z01.81</t>
  </si>
  <si>
    <t>Pre-operative Risk Assessment, Emergency PS 2</t>
  </si>
  <si>
    <t>27/01/2020</t>
  </si>
  <si>
    <t>Pre-operative Risk Assessment PS 2</t>
  </si>
  <si>
    <t>19/03/2005</t>
  </si>
  <si>
    <t>COVID-19, Moderate</t>
  </si>
  <si>
    <t>A. Pleural effusion</t>
  </si>
  <si>
    <t>2. Non- Infectious</t>
  </si>
  <si>
    <t>J90</t>
  </si>
  <si>
    <t>Reactive Pleural Effusion due to Peritonitis secondary to Ruptured Appendicitis</t>
  </si>
  <si>
    <t>October</t>
  </si>
  <si>
    <t>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</si>
</sst>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9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1" fontId="0" fillId="0" borderId="0" xfId="0" applyNumberFormat="1"/>
    <xf numFmtId="0" fontId="0" fillId="0" borderId="0" xfId="0"/>
    <xf numFmtId="0" fontId="18" fillId="2" borderId="1" xfId="0" applyFont="1" applyFill="1" applyBorder="1" applyAlignment="1" applyProtection="1">
      <alignment vertical="center"/>
      <protection locked="0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8" fillId="2" borderId="1" xfId="0" applyFont="1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G6" sqref="G6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9" t="s">
        <v>34</v>
      </c>
      <c r="B3" s="59"/>
      <c r="C3" s="59"/>
      <c r="D3" s="59"/>
      <c r="E3" s="59"/>
      <c r="F3" s="59"/>
      <c r="G3" s="59"/>
      <c r="H3" s="59"/>
      <c r="I3" s="59"/>
    </row>
    <row r="4" spans="1:11" ht="20.25" customHeight="1" x14ac:dyDescent="0.15">
      <c r="A4" s="60" t="s">
        <v>35</v>
      </c>
      <c r="B4" s="60"/>
      <c r="C4" s="60"/>
      <c r="D4" s="60"/>
      <c r="E4" s="60"/>
      <c r="F4" s="60"/>
      <c r="G4" s="60"/>
      <c r="H4" s="60"/>
      <c r="I4" s="60"/>
    </row>
    <row r="5" spans="1:11" ht="36" x14ac:dyDescent="0.15">
      <c r="A5" s="42" t="s">
        <v>25</v>
      </c>
      <c r="B5" s="46" t="s">
        <v>72</v>
      </c>
      <c r="C5" s="43" t="s">
        <v>26</v>
      </c>
      <c r="D5" s="48">
        <v>2021</v>
      </c>
      <c r="E5" s="48"/>
      <c r="F5" s="43" t="s">
        <v>27</v>
      </c>
      <c r="G5" s="66" t="s">
        <v>73</v>
      </c>
      <c r="H5" s="48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49" t="s">
        <v>28</v>
      </c>
      <c r="C7" s="50"/>
      <c r="D7" s="49" t="s">
        <v>29</v>
      </c>
      <c r="E7" s="50"/>
      <c r="F7" s="51" t="s">
        <v>30</v>
      </c>
      <c r="G7" s="51"/>
      <c r="H7" s="37"/>
      <c r="I7" s="35"/>
      <c r="J7" s="35"/>
      <c r="K7" s="35"/>
    </row>
    <row r="8" spans="1:11" x14ac:dyDescent="0.15">
      <c r="A8" s="35"/>
      <c r="B8" s="47">
        <f>SUM(D8:G9)</f>
        <v>11</v>
      </c>
      <c r="C8" s="47"/>
      <c r="D8" s="52">
        <f>COUNTIFS('Data Sheet'!$D:$D,"New")</f>
        <v>11</v>
      </c>
      <c r="E8" s="53"/>
      <c r="F8" s="56">
        <f>COUNTIF('Data Sheet'!$D:$D,"Old")</f>
        <v>0</v>
      </c>
      <c r="G8" s="56"/>
      <c r="H8" s="35"/>
      <c r="I8" s="35"/>
      <c r="J8" s="35"/>
      <c r="K8" s="35"/>
    </row>
    <row r="9" spans="1:11" x14ac:dyDescent="0.15">
      <c r="A9" s="35"/>
      <c r="B9" s="47"/>
      <c r="C9" s="47"/>
      <c r="D9" s="54"/>
      <c r="E9" s="55"/>
      <c r="F9" s="56"/>
      <c r="G9" s="56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1" t="s">
        <v>31</v>
      </c>
      <c r="C11" s="51"/>
      <c r="D11" s="51"/>
      <c r="E11" s="51" t="s">
        <v>32</v>
      </c>
      <c r="F11" s="51"/>
      <c r="G11" s="51"/>
      <c r="H11" s="35"/>
      <c r="I11" s="35"/>
      <c r="J11" s="35"/>
      <c r="K11" s="35"/>
    </row>
    <row r="12" spans="1:11" x14ac:dyDescent="0.15">
      <c r="A12" s="35"/>
      <c r="B12" s="47">
        <f>COUNTIF('Data Sheet'!$E:$E,"Male")</f>
        <v>8</v>
      </c>
      <c r="C12" s="47"/>
      <c r="D12" s="47"/>
      <c r="E12" s="47">
        <f>COUNTIF('Data Sheet'!$E:$E,"Female")</f>
        <v>3</v>
      </c>
      <c r="F12" s="47"/>
      <c r="G12" s="47"/>
      <c r="H12" s="35"/>
      <c r="I12" s="35"/>
      <c r="J12" s="35"/>
      <c r="K12" s="35"/>
    </row>
    <row r="13" spans="1:11" x14ac:dyDescent="0.15">
      <c r="A13" s="35"/>
      <c r="B13" s="47"/>
      <c r="C13" s="47"/>
      <c r="D13" s="47"/>
      <c r="E13" s="47"/>
      <c r="F13" s="47"/>
      <c r="G13" s="47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61" t="s">
        <v>33</v>
      </c>
      <c r="C15" s="61"/>
      <c r="D15" s="61"/>
      <c r="E15" s="61"/>
      <c r="F15" s="61"/>
      <c r="G15" s="61"/>
      <c r="H15" s="35"/>
      <c r="I15" s="35"/>
      <c r="J15" s="35"/>
      <c r="K15" s="35"/>
    </row>
    <row r="16" spans="1:11" ht="36.75" customHeight="1" x14ac:dyDescent="0.15">
      <c r="A16" s="35"/>
      <c r="B16" s="57" t="str">
        <f>_xlfn.CONCAT("I. Congenital Malformations of the Respiratory Tract: 
",COUNTIF('Data Sheet'!$H:$H,"I. Congenital Malformations of the Respiratory Tract"))</f>
        <v>I. Congenital Malformations of the Respiratory Tract: 
1</v>
      </c>
      <c r="C16" s="58" t="str">
        <f>_xlfn.CONCAT("New Cases: 
",COUNTIFS('Data Sheet'!$H:$H,"I. Congenital Malformations of the Respiratory Tract",'Data Sheet'!$D:$D,"New"))</f>
        <v>New Cases: 
1</v>
      </c>
      <c r="D16" s="58"/>
      <c r="E16" s="57" t="str">
        <f>_xlfn.CONCAT("VI. Non-infectious Disorders of the Respiratory Tract: 
",COUNTIF('Data Sheet'!$H:$H,"VI. Non-infectious Disorders of the Respiratory Tract"))</f>
        <v>VI. Non-infectious Disorders of the Respiratory Tract: 
0</v>
      </c>
      <c r="F16" s="58" t="str">
        <f>_xlfn.CONCAT("New Cases: 
",COUNTIFS('Data Sheet'!$H:$H,"VI. Non-infectious Disorders of the Respiratory Tract",'Data Sheet'!$D:$D,"New"))</f>
        <v>New Cases: 
0</v>
      </c>
      <c r="G16" s="58"/>
      <c r="H16" s="35"/>
      <c r="I16" s="35"/>
      <c r="J16" s="35"/>
      <c r="K16" s="35"/>
    </row>
    <row r="17" spans="1:11" ht="42.75" customHeight="1" x14ac:dyDescent="0.15">
      <c r="A17" s="35"/>
      <c r="B17" s="57"/>
      <c r="C17" s="58" t="str">
        <f>_xlfn.CONCAT("Old Cases: 
",COUNTIFS('Data Sheet'!$H:$H,"I. Congenital Malformations of the Respiratory Tract",'Data Sheet'!$D:$D,"Old"))</f>
        <v>Old Cases: 
0</v>
      </c>
      <c r="D17" s="58"/>
      <c r="E17" s="57"/>
      <c r="F17" s="58" t="str">
        <f>_xlfn.CONCAT("Old Cases: 
",COUNTIFS('Data Sheet'!$H:$H,"VI. Non-infectious Disorders of the Respiratory Tract",'Data Sheet'!$D:$D,"Old"))</f>
        <v>Old Cases: 
0</v>
      </c>
      <c r="G17" s="58"/>
      <c r="H17" s="35"/>
      <c r="I17" s="35"/>
      <c r="J17" s="35"/>
      <c r="K17" s="35"/>
    </row>
    <row r="18" spans="1:11" ht="42.75" customHeight="1" x14ac:dyDescent="0.15">
      <c r="A18" s="35"/>
      <c r="B18" s="57" t="str">
        <f>_xlfn.CONCAT("II. Respiratory Disorders of the Newborn: 
",COUNTIF('Data Sheet'!$H:$H,"II. Respiratory Disorders of the Newborn"))</f>
        <v>II. Respiratory Disorders of the Newborn: 
1</v>
      </c>
      <c r="C18" s="58" t="str">
        <f>_xlfn.CONCAT("New Cases: 
",COUNTIFS('Data Sheet'!$H:$H,"II. Respiratory Disorders of the Newborn",'Data Sheet'!$D:$D,"New"))</f>
        <v>New Cases: 
1</v>
      </c>
      <c r="D18" s="58"/>
      <c r="E18" s="57" t="str">
        <f>_xlfn.CONCAT("VII. Other Diseases with Prominent Respiratory Component: 
",COUNTIF('Data Sheet'!$H:$H,"VII. Other Diseases with Prominent Respiratory Component"))</f>
        <v>VII. Other Diseases with Prominent Respiratory Component: 
1</v>
      </c>
      <c r="F18" s="58" t="str">
        <f>_xlfn.CONCAT("New Cases: 
",COUNTIFS('Data Sheet'!$H:$H,"VII. Other Diseases with Prominent Respiratory Component",'Data Sheet'!$D:$D,"New"))</f>
        <v>New Cases: 
1</v>
      </c>
      <c r="G18" s="58"/>
      <c r="H18" s="35"/>
      <c r="I18" s="35"/>
      <c r="J18" s="35"/>
      <c r="K18" s="35"/>
    </row>
    <row r="19" spans="1:11" ht="46.5" customHeight="1" x14ac:dyDescent="0.15">
      <c r="A19" s="35"/>
      <c r="B19" s="57"/>
      <c r="C19" s="58" t="str">
        <f>_xlfn.CONCAT("Old Cases: 
",COUNTIFS('Data Sheet'!$H:$H,"II. Respiratory Disorders of the Newborn",'Data Sheet'!$D:$D,"Old"))</f>
        <v>Old Cases: 
0</v>
      </c>
      <c r="D19" s="58"/>
      <c r="E19" s="57"/>
      <c r="F19" s="58" t="str">
        <f>_xlfn.CONCAT("Old Cases: 
",COUNTIFS('Data Sheet'!$H:$H,"VII. Other Diseases with Prominent Respiratory Component",'Data Sheet'!$D:$D,"Old"))</f>
        <v>Old Cases: 
0</v>
      </c>
      <c r="G19" s="58"/>
      <c r="H19" s="35"/>
      <c r="I19" s="35"/>
      <c r="J19" s="35"/>
      <c r="K19" s="40"/>
    </row>
    <row r="20" spans="1:11" ht="48.75" customHeight="1" x14ac:dyDescent="0.15">
      <c r="A20" s="35"/>
      <c r="B20" s="57" t="str">
        <f>_xlfn.CONCAT("III. Bronchopulmonary Dysplasia: 
",COUNTIF('Data Sheet'!$H:$H,"III. Bronchopulmonary Dysplasia"))</f>
        <v>III. Bronchopulmonary Dysplasia: 
0</v>
      </c>
      <c r="C20" s="58" t="e">
        <f>_xlfn.CONCAT("New Cases: 
",COUNTIFS('[1]Data Sheet'!$H:$H,"III. Bronchopulmonary Dysplasia",'[1]Data Sheet'!$D:$D,"New"))</f>
        <v>#VALUE!</v>
      </c>
      <c r="D20" s="58"/>
      <c r="E20" s="57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58" t="str">
        <f>_xlfn.CONCAT("New Cases: 
",COUNTIFS('Data Sheet'!$H:$H,"VIII. Disorders of the Respiratory Tract due to Trauma",'Data Sheet'!$D:$D,"New"))</f>
        <v>New Cases: 
0</v>
      </c>
      <c r="G20" s="58"/>
      <c r="H20" s="35"/>
      <c r="I20" s="35"/>
      <c r="J20" s="35"/>
      <c r="K20" s="41"/>
    </row>
    <row r="21" spans="1:11" ht="40.5" customHeight="1" x14ac:dyDescent="0.15">
      <c r="A21" s="35"/>
      <c r="B21" s="57"/>
      <c r="C21" s="58" t="e">
        <f>_xlfn.CONCAT("Old Cases: 
",COUNTIFS('[1]Data Sheet'!$H:$H,"III. Bronchopulmonary Dysplasia",'[1]Data Sheet'!$D:$D,"Old"))</f>
        <v>#VALUE!</v>
      </c>
      <c r="D21" s="58"/>
      <c r="E21" s="57"/>
      <c r="F21" s="58" t="str">
        <f>_xlfn.CONCAT("Old Cases: 
",COUNTIFS('Data Sheet'!$H:$H,"VIII. Disorders of the Respiratory Tract due to Trauma",'Data Sheet'!$D:$D,"Old"))</f>
        <v>Old Cases: 
0</v>
      </c>
      <c r="G21" s="58"/>
      <c r="H21" s="35"/>
      <c r="I21" s="35"/>
      <c r="J21" s="35"/>
      <c r="K21" s="41"/>
    </row>
    <row r="22" spans="1:11" ht="38.25" customHeight="1" x14ac:dyDescent="0.15">
      <c r="A22" s="35"/>
      <c r="B22" s="57" t="str">
        <f>_xlfn.CONCAT("IV. Infections of the Respiratory Tract: 
",COUNTIF('Data Sheet'!$H:$H,"IV. Infections of the Respiratory Tract"))</f>
        <v>IV. Infections of the Respiratory Tract: 
5</v>
      </c>
      <c r="C22" s="58" t="str">
        <f>_xlfn.CONCAT("New Cases: 
",COUNTIFS('Data Sheet'!$H:$H,"IV. Infections of the Respiratory Tract",'Data Sheet'!$D:$D,"New"))</f>
        <v>New Cases: 
5</v>
      </c>
      <c r="D22" s="58"/>
      <c r="E22" s="57" t="str">
        <f>_xlfn.CONCAT("IX. Airways Disease: 
",COUNTIF('Data Sheet'!$H:$H,"IX. Airways Disease"))</f>
        <v>IX. Airways Disease: 
0</v>
      </c>
      <c r="F22" s="58" t="str">
        <f>_xlfn.CONCAT("New Cases: 
",COUNTIFS('Data Sheet'!$H:$H,"IX. Airways Disease",'Data Sheet'!$D:$D,"New"))</f>
        <v>New Cases: 
0</v>
      </c>
      <c r="G22" s="58"/>
      <c r="H22" s="35"/>
      <c r="I22" s="35"/>
      <c r="J22" s="35"/>
      <c r="K22" s="41"/>
    </row>
    <row r="23" spans="1:11" ht="51" customHeight="1" x14ac:dyDescent="0.15">
      <c r="A23" s="35"/>
      <c r="B23" s="57"/>
      <c r="C23" s="58" t="str">
        <f>_xlfn.CONCAT("Old Cases: 
",COUNTIFS('Data Sheet'!$H:$H,"IV. Infections of the Respiratory Tract",'Data Sheet'!$D:$D,"Old"))</f>
        <v>Old Cases: 
0</v>
      </c>
      <c r="D23" s="58"/>
      <c r="E23" s="57"/>
      <c r="F23" s="58" t="str">
        <f>_xlfn.CONCAT("Old Cases: 
",COUNTIFS('Data Sheet'!$H:$H,"IX. Airways Disease",'Data Sheet'!$D:$D,"Old"))</f>
        <v>Old Cases: 
0</v>
      </c>
      <c r="G23" s="58"/>
      <c r="H23" s="35"/>
      <c r="I23" s="35"/>
      <c r="J23" s="35"/>
      <c r="K23" s="35"/>
    </row>
    <row r="24" spans="1:11" ht="42" customHeight="1" x14ac:dyDescent="0.15">
      <c r="A24" s="35"/>
      <c r="B24" s="57" t="str">
        <f>_xlfn.CONCAT("V. Pleural Diseases: 
",COUNTIF('Data Sheet'!$H:$H,"V. Pleural Diseases"))</f>
        <v>V. Pleural Diseases: 
1</v>
      </c>
      <c r="C24" s="58" t="str">
        <f>_xlfn.CONCAT("New Cases: 
",COUNTIFS('Data Sheet'!$H:$H,"V. Pleural Diseases",'Data Sheet'!$D:$D,"New"))</f>
        <v>New Cases: 
1</v>
      </c>
      <c r="D24" s="58"/>
      <c r="E24" s="57" t="str">
        <f>_xlfn.CONCAT("X. Others Diseases: 
",COUNTIF('Data Sheet'!$H:$H,"X. Others Diseases"))</f>
        <v>X. Others Diseases: 
2</v>
      </c>
      <c r="F24" s="58" t="str">
        <f>_xlfn.CONCAT("New Cases: 
",COUNTIFS('Data Sheet'!$H:$H,"X. Others Diseases",'Data Sheet'!$D:$D,"New"))</f>
        <v>New Cases: 
2</v>
      </c>
      <c r="G24" s="58"/>
      <c r="H24" s="35"/>
      <c r="I24" s="35"/>
      <c r="J24" s="35"/>
      <c r="K24" s="35"/>
    </row>
    <row r="25" spans="1:11" ht="46.5" customHeight="1" x14ac:dyDescent="0.15">
      <c r="A25" s="35"/>
      <c r="B25" s="57"/>
      <c r="C25" s="58" t="str">
        <f>_xlfn.CONCAT("Old Cases: 
",COUNTIFS('Data Sheet'!$H:$H,"V. Pleural Diseases",'Data Sheet'!$D:$D,"Old"))</f>
        <v>Old Cases: 
0</v>
      </c>
      <c r="D25" s="58"/>
      <c r="E25" s="57"/>
      <c r="F25" s="58" t="str">
        <f>_xlfn.CONCAT("Old Cases: 
",COUNTIFS('Data Sheet'!$H:$H,"X. Others Diseases",'Data Sheet'!$D:$D,"Old"))</f>
        <v>Old Cases: 
0</v>
      </c>
      <c r="G25" s="58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15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10360</v>
      </c>
      <c r="B4" s="21" t="str">
        <f>_xlfn.IFNA(VLOOKUP($A4,'Data Sheet'!$A:B,2,FALSE),"NA")</f>
        <v>16/11/2021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01/10/2021</v>
      </c>
      <c r="G4" s="24">
        <f>_xlfn.IFNA(VLOOKUP($A4,'Data Sheet'!$A:G,7,FALSE),"NA")</f>
        <v>0</v>
      </c>
      <c r="H4" s="25" t="str">
        <f>_xlfn.IFNA(VLOOKUP($A4,'Data Sheet'!$A:P,16,FALSE),"NA")</f>
        <v>E. Gastroesophageal Reflux Disease</v>
      </c>
      <c r="I4" s="24" t="str">
        <f>_xlfn.IFNA(VLOOKUP($A4,'Data Sheet'!$A:S,19,FALSE),"NA")</f>
        <v>K21.9</v>
      </c>
      <c r="J4" s="25" t="str">
        <f>_xlfn.IFNA(VLOOKUP($A4,'Data Sheet'!$A:T,20,FALSE),"NA")</f>
        <v>Gastroesophageal Reflux Disease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5" t="s">
        <v>22</v>
      </c>
      <c r="B2" s="63"/>
      <c r="C2" s="63"/>
      <c r="D2" s="63"/>
      <c r="E2" s="63"/>
      <c r="F2" s="63"/>
      <c r="G2" s="63"/>
      <c r="H2" s="63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16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17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5">_xlfn._xlws.FILTER('Data Sheet'!A:A,'Data Sheet'!H:H=A2,"NA")</f>
        <v>10354</v>
      </c>
      <c r="B4" s="21" t="str">
        <f>_xlfn.IFNA(VLOOKUP($A4,'Data Sheet'!$A:B,2,FALSE),"NA")</f>
        <v>16/11/2021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28/07/2008</v>
      </c>
      <c r="G4" s="24">
        <f>_xlfn.IFNA(VLOOKUP($A4,'Data Sheet'!$A:G,7,FALSE),"NA")</f>
        <v>13</v>
      </c>
      <c r="H4" s="25" t="str">
        <f>_xlfn.IFNA(VLOOKUP($A4,'Data Sheet'!$A:R,18,FALSE),"NA")</f>
        <v>D. Preoperative Risk Assesment (z01.81)</v>
      </c>
      <c r="I4" s="24" t="str">
        <f>_xlfn.IFNA(VLOOKUP($A4,'Data Sheet'!$A:S,19,FALSE),"NA")</f>
        <v>Z01.81</v>
      </c>
      <c r="J4" s="25" t="str">
        <f>_xlfn.IFNA(VLOOKUP($A4,'Data Sheet'!$A:T,20,FALSE),"NA")</f>
        <v>Pre-operative Risk Assessment, Emergency PS 2</v>
      </c>
    </row>
    <row r="5" spans="1:19" ht="13" x14ac:dyDescent="0.15">
      <c r="A5" s="20">
        <v>10352</v>
      </c>
      <c r="B5" s="21" t="str">
        <f>_xlfn.IFNA(VLOOKUP($A5,'Data Sheet'!$A:B,2,FALSE),"NA")</f>
        <v>16/11/2021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27/01/2020</v>
      </c>
      <c r="G5" s="26">
        <f>_xlfn.IFNA(VLOOKUP($A5,'Data Sheet'!$A:G,7,FALSE),"NA")</f>
        <v>1</v>
      </c>
      <c r="H5" s="29" t="str">
        <f>_xlfn.IFNA(VLOOKUP($A5,'Data Sheet'!$A:R,18,FALSE),"NA")</f>
        <v>D. Preoperative Risk Assesment (z01.81)</v>
      </c>
      <c r="I5" s="26" t="str">
        <f>_xlfn.IFNA(VLOOKUP($A5,'Data Sheet'!$A:S,19,FALSE),"NA")</f>
        <v>Z01.81</v>
      </c>
      <c r="J5" s="29" t="str">
        <f>_xlfn.IFNA(VLOOKUP($A5,'Data Sheet'!$A:T,20,FALSE),"NA")</f>
        <v>Pre-operative Risk Assessment PS 2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:XFD12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5" customFormat="1" ht="13" x14ac:dyDescent="0.15">
      <c r="A2" s="44">
        <v>10360</v>
      </c>
      <c r="B2" s="45" t="s">
        <v>36</v>
      </c>
      <c r="C2" s="45" t="s">
        <v>37</v>
      </c>
      <c r="D2" s="45" t="s">
        <v>38</v>
      </c>
      <c r="E2" s="45" t="s">
        <v>39</v>
      </c>
      <c r="F2" s="45" t="s">
        <v>40</v>
      </c>
      <c r="G2" s="44">
        <v>0</v>
      </c>
      <c r="H2" s="45" t="s">
        <v>15</v>
      </c>
      <c r="P2" s="45" t="s">
        <v>41</v>
      </c>
      <c r="S2" s="45" t="s">
        <v>42</v>
      </c>
      <c r="T2" s="45" t="s">
        <v>43</v>
      </c>
    </row>
    <row r="3" spans="1:20" s="45" customFormat="1" ht="13" x14ac:dyDescent="0.15">
      <c r="A3" s="44">
        <v>10359</v>
      </c>
      <c r="B3" s="45" t="s">
        <v>36</v>
      </c>
      <c r="C3" s="45" t="s">
        <v>37</v>
      </c>
      <c r="D3" s="45" t="s">
        <v>38</v>
      </c>
      <c r="E3" s="45" t="s">
        <v>39</v>
      </c>
      <c r="F3" s="45" t="s">
        <v>40</v>
      </c>
      <c r="G3" s="44">
        <v>0</v>
      </c>
      <c r="H3" s="45" t="s">
        <v>20</v>
      </c>
      <c r="S3" s="45" t="s">
        <v>44</v>
      </c>
      <c r="T3" s="45" t="s">
        <v>45</v>
      </c>
    </row>
    <row r="4" spans="1:20" s="45" customFormat="1" ht="13" x14ac:dyDescent="0.15">
      <c r="A4" s="44">
        <v>10358</v>
      </c>
      <c r="B4" s="45" t="s">
        <v>36</v>
      </c>
      <c r="C4" s="45" t="s">
        <v>37</v>
      </c>
      <c r="D4" s="45" t="s">
        <v>38</v>
      </c>
      <c r="E4" s="45" t="s">
        <v>39</v>
      </c>
      <c r="F4" s="45" t="s">
        <v>40</v>
      </c>
      <c r="G4" s="44">
        <v>0</v>
      </c>
      <c r="H4" s="45" t="s">
        <v>8</v>
      </c>
      <c r="I4" s="45" t="s">
        <v>46</v>
      </c>
      <c r="S4" s="45" t="s">
        <v>47</v>
      </c>
      <c r="T4" s="45" t="s">
        <v>48</v>
      </c>
    </row>
    <row r="5" spans="1:20" s="45" customFormat="1" ht="13" x14ac:dyDescent="0.15">
      <c r="A5" s="44">
        <v>10357</v>
      </c>
      <c r="B5" s="45" t="s">
        <v>36</v>
      </c>
      <c r="C5" s="45" t="s">
        <v>37</v>
      </c>
      <c r="D5" s="45" t="s">
        <v>38</v>
      </c>
      <c r="E5" s="45" t="s">
        <v>49</v>
      </c>
      <c r="F5" s="45" t="s">
        <v>50</v>
      </c>
      <c r="G5" s="44">
        <v>17</v>
      </c>
      <c r="H5" s="45" t="s">
        <v>9</v>
      </c>
      <c r="J5" s="45" t="s">
        <v>51</v>
      </c>
      <c r="K5" s="45" t="s">
        <v>52</v>
      </c>
      <c r="S5" s="45" t="s">
        <v>53</v>
      </c>
      <c r="T5" s="45" t="s">
        <v>54</v>
      </c>
    </row>
    <row r="6" spans="1:20" s="45" customFormat="1" ht="13" x14ac:dyDescent="0.15">
      <c r="A6" s="44">
        <v>10356</v>
      </c>
      <c r="B6" s="45" t="s">
        <v>36</v>
      </c>
      <c r="C6" s="45" t="s">
        <v>37</v>
      </c>
      <c r="D6" s="45" t="s">
        <v>38</v>
      </c>
      <c r="E6" s="45" t="s">
        <v>49</v>
      </c>
      <c r="F6" s="45" t="s">
        <v>50</v>
      </c>
      <c r="G6" s="44">
        <v>17</v>
      </c>
      <c r="H6" s="45" t="s">
        <v>9</v>
      </c>
      <c r="J6" s="45" t="s">
        <v>51</v>
      </c>
      <c r="K6" s="45" t="s">
        <v>55</v>
      </c>
      <c r="S6" s="45" t="s">
        <v>56</v>
      </c>
      <c r="T6" s="45" t="s">
        <v>57</v>
      </c>
    </row>
    <row r="7" spans="1:20" s="45" customFormat="1" ht="13" x14ac:dyDescent="0.15">
      <c r="A7" s="44">
        <v>10355</v>
      </c>
      <c r="B7" s="45" t="s">
        <v>36</v>
      </c>
      <c r="C7" s="45" t="s">
        <v>37</v>
      </c>
      <c r="D7" s="45" t="s">
        <v>38</v>
      </c>
      <c r="E7" s="45" t="s">
        <v>49</v>
      </c>
      <c r="F7" s="45" t="s">
        <v>50</v>
      </c>
      <c r="G7" s="44">
        <v>17</v>
      </c>
      <c r="H7" s="45" t="s">
        <v>9</v>
      </c>
      <c r="J7" s="45" t="s">
        <v>51</v>
      </c>
      <c r="K7" s="45" t="s">
        <v>55</v>
      </c>
      <c r="S7" s="45" t="s">
        <v>58</v>
      </c>
      <c r="T7" s="45" t="s">
        <v>59</v>
      </c>
    </row>
    <row r="8" spans="1:20" s="45" customFormat="1" ht="13" x14ac:dyDescent="0.15">
      <c r="A8" s="44">
        <v>10354</v>
      </c>
      <c r="B8" s="45" t="s">
        <v>36</v>
      </c>
      <c r="C8" s="45" t="s">
        <v>37</v>
      </c>
      <c r="D8" s="45" t="s">
        <v>38</v>
      </c>
      <c r="E8" s="45" t="s">
        <v>49</v>
      </c>
      <c r="F8" s="45" t="s">
        <v>60</v>
      </c>
      <c r="G8" s="44">
        <v>13</v>
      </c>
      <c r="H8" s="45" t="s">
        <v>17</v>
      </c>
      <c r="R8" s="45" t="s">
        <v>61</v>
      </c>
      <c r="S8" s="45" t="s">
        <v>62</v>
      </c>
      <c r="T8" s="45" t="s">
        <v>63</v>
      </c>
    </row>
    <row r="9" spans="1:20" s="45" customFormat="1" ht="13" x14ac:dyDescent="0.15">
      <c r="A9" s="44">
        <v>10353</v>
      </c>
      <c r="B9" s="45" t="s">
        <v>36</v>
      </c>
      <c r="C9" s="45" t="s">
        <v>37</v>
      </c>
      <c r="D9" s="45" t="s">
        <v>38</v>
      </c>
      <c r="E9" s="45" t="s">
        <v>49</v>
      </c>
      <c r="F9" s="45" t="s">
        <v>64</v>
      </c>
      <c r="G9" s="44">
        <v>1</v>
      </c>
      <c r="H9" s="45" t="s">
        <v>9</v>
      </c>
      <c r="J9" s="45" t="s">
        <v>51</v>
      </c>
      <c r="K9" s="45" t="s">
        <v>55</v>
      </c>
      <c r="S9" s="45" t="s">
        <v>58</v>
      </c>
      <c r="T9" s="45" t="s">
        <v>59</v>
      </c>
    </row>
    <row r="10" spans="1:20" s="45" customFormat="1" ht="13" x14ac:dyDescent="0.15">
      <c r="A10" s="44">
        <v>10352</v>
      </c>
      <c r="B10" s="45" t="s">
        <v>36</v>
      </c>
      <c r="C10" s="45" t="s">
        <v>37</v>
      </c>
      <c r="D10" s="45" t="s">
        <v>38</v>
      </c>
      <c r="E10" s="45" t="s">
        <v>49</v>
      </c>
      <c r="F10" s="45" t="s">
        <v>64</v>
      </c>
      <c r="G10" s="44">
        <v>1</v>
      </c>
      <c r="H10" s="45" t="s">
        <v>17</v>
      </c>
      <c r="R10" s="45" t="s">
        <v>61</v>
      </c>
      <c r="S10" s="45" t="s">
        <v>62</v>
      </c>
      <c r="T10" s="45" t="s">
        <v>65</v>
      </c>
    </row>
    <row r="11" spans="1:20" s="45" customFormat="1" ht="13" x14ac:dyDescent="0.15">
      <c r="A11" s="44">
        <v>10351</v>
      </c>
      <c r="B11" s="45" t="s">
        <v>36</v>
      </c>
      <c r="C11" s="45" t="s">
        <v>37</v>
      </c>
      <c r="D11" s="45" t="s">
        <v>38</v>
      </c>
      <c r="E11" s="45" t="s">
        <v>49</v>
      </c>
      <c r="F11" s="45" t="s">
        <v>66</v>
      </c>
      <c r="G11" s="44">
        <v>16</v>
      </c>
      <c r="H11" s="45" t="s">
        <v>9</v>
      </c>
      <c r="J11" s="45" t="s">
        <v>51</v>
      </c>
      <c r="K11" s="45" t="s">
        <v>52</v>
      </c>
      <c r="S11" s="45" t="s">
        <v>53</v>
      </c>
      <c r="T11" s="45" t="s">
        <v>67</v>
      </c>
    </row>
    <row r="12" spans="1:20" s="45" customFormat="1" ht="13" x14ac:dyDescent="0.15">
      <c r="A12" s="44">
        <v>10350</v>
      </c>
      <c r="B12" s="45" t="s">
        <v>36</v>
      </c>
      <c r="C12" s="45" t="s">
        <v>37</v>
      </c>
      <c r="D12" s="45" t="s">
        <v>38</v>
      </c>
      <c r="E12" s="45" t="s">
        <v>49</v>
      </c>
      <c r="F12" s="45" t="s">
        <v>66</v>
      </c>
      <c r="G12" s="44">
        <v>16</v>
      </c>
      <c r="H12" s="45" t="s">
        <v>11</v>
      </c>
      <c r="L12" s="45" t="s">
        <v>68</v>
      </c>
      <c r="M12" s="45" t="s">
        <v>69</v>
      </c>
      <c r="S12" s="45" t="s">
        <v>70</v>
      </c>
      <c r="T12" s="45" t="s">
        <v>71</v>
      </c>
    </row>
    <row r="13" spans="1:20" ht="15.75" customHeight="1" x14ac:dyDescent="0.2">
      <c r="A13" s="3"/>
      <c r="B13" s="4"/>
      <c r="C13" s="4"/>
      <c r="D13" s="4"/>
      <c r="E13" s="4"/>
      <c r="F13" s="4"/>
      <c r="G13" s="3"/>
      <c r="H13" s="4"/>
      <c r="I13" s="5"/>
      <c r="J13" s="4"/>
      <c r="K13" s="4"/>
      <c r="L13" s="5"/>
      <c r="M13" s="5"/>
      <c r="N13" s="5"/>
      <c r="O13" s="5"/>
      <c r="P13" s="6"/>
      <c r="Q13" s="6"/>
      <c r="R13" s="5"/>
      <c r="S13" s="4"/>
      <c r="T13" s="4"/>
    </row>
    <row r="14" spans="1:20" ht="15.75" customHeight="1" x14ac:dyDescent="0.2">
      <c r="A14" s="3"/>
      <c r="B14" s="4"/>
      <c r="C14" s="4"/>
      <c r="D14" s="4"/>
      <c r="E14" s="4"/>
      <c r="F14" s="9"/>
      <c r="G14" s="3"/>
      <c r="H14" s="4"/>
      <c r="I14" s="5"/>
      <c r="J14" s="5"/>
      <c r="K14" s="5"/>
      <c r="L14" s="5"/>
      <c r="M14" s="5"/>
      <c r="N14" s="5"/>
      <c r="O14" s="5"/>
      <c r="P14" s="6"/>
      <c r="Q14" s="6"/>
      <c r="R14" s="4"/>
      <c r="S14" s="4"/>
      <c r="T14" s="4"/>
    </row>
    <row r="15" spans="1:20" ht="15.75" customHeight="1" x14ac:dyDescent="0.2">
      <c r="A15" s="3"/>
      <c r="B15" s="4"/>
      <c r="C15" s="4"/>
      <c r="D15" s="4"/>
      <c r="E15" s="4"/>
      <c r="F15" s="4"/>
      <c r="G15" s="3"/>
      <c r="H15" s="4"/>
      <c r="I15" s="5"/>
      <c r="J15" s="5"/>
      <c r="K15" s="5"/>
      <c r="L15" s="5"/>
      <c r="M15" s="5"/>
      <c r="N15" s="5"/>
      <c r="O15" s="5"/>
      <c r="P15" s="6"/>
      <c r="Q15" s="6"/>
      <c r="R15" s="4"/>
      <c r="S15" s="4"/>
      <c r="T15" s="4"/>
    </row>
    <row r="16" spans="1:20" ht="15.75" customHeight="1" x14ac:dyDescent="0.2">
      <c r="A16" s="3"/>
      <c r="B16" s="4"/>
      <c r="C16" s="4"/>
      <c r="D16" s="4"/>
      <c r="E16" s="4"/>
      <c r="F16" s="7"/>
      <c r="G16" s="3"/>
      <c r="H16" s="4"/>
      <c r="I16" s="4"/>
      <c r="J16" s="5"/>
      <c r="K16" s="5"/>
      <c r="L16" s="5"/>
      <c r="M16" s="5"/>
      <c r="N16" s="5"/>
      <c r="O16" s="5"/>
      <c r="P16" s="6"/>
      <c r="Q16" s="6"/>
      <c r="R16" s="5"/>
      <c r="S16" s="4"/>
      <c r="T16" s="4"/>
    </row>
    <row r="17" spans="1:20" ht="15.75" customHeight="1" x14ac:dyDescent="0.2">
      <c r="A17" s="3"/>
      <c r="B17" s="4"/>
      <c r="C17" s="4"/>
      <c r="D17" s="4"/>
      <c r="E17" s="4"/>
      <c r="F17" s="7"/>
      <c r="G17" s="3"/>
      <c r="H17" s="4"/>
      <c r="I17" s="5"/>
      <c r="J17" s="4"/>
      <c r="K17" s="4"/>
      <c r="L17" s="5"/>
      <c r="M17" s="5"/>
      <c r="N17" s="5"/>
      <c r="O17" s="5"/>
      <c r="P17" s="6"/>
      <c r="Q17" s="6"/>
      <c r="R17" s="5"/>
      <c r="S17" s="4"/>
      <c r="T17" s="4"/>
    </row>
    <row r="18" spans="1:20" ht="15.75" customHeight="1" x14ac:dyDescent="0.2">
      <c r="A18" s="3"/>
      <c r="B18" s="4"/>
      <c r="C18" s="4"/>
      <c r="D18" s="4"/>
      <c r="E18" s="4"/>
      <c r="F18" s="7"/>
      <c r="G18" s="3"/>
      <c r="H18" s="4"/>
      <c r="I18" s="5"/>
      <c r="J18" s="4"/>
      <c r="K18" s="62"/>
      <c r="L18" s="63"/>
      <c r="M18" s="5"/>
      <c r="N18" s="5"/>
      <c r="O18" s="5"/>
      <c r="P18" s="6"/>
      <c r="Q18" s="6"/>
      <c r="R18" s="5"/>
      <c r="S18" s="4"/>
      <c r="T18" s="4"/>
    </row>
    <row r="19" spans="1:20" ht="15.75" customHeight="1" x14ac:dyDescent="0.2">
      <c r="A19" s="3"/>
      <c r="B19" s="4"/>
      <c r="C19" s="4"/>
      <c r="D19" s="4"/>
      <c r="E19" s="4"/>
      <c r="F19" s="4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4"/>
      <c r="K20" s="4"/>
      <c r="L20" s="5"/>
      <c r="M20" s="5"/>
      <c r="N20" s="5"/>
      <c r="O20" s="5"/>
      <c r="P20" s="6"/>
      <c r="Q20" s="6"/>
      <c r="R20" s="5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7"/>
      <c r="G21" s="3"/>
      <c r="H21" s="4"/>
      <c r="I21" s="5"/>
      <c r="J21" s="5"/>
      <c r="K21" s="5"/>
      <c r="L21" s="5"/>
      <c r="M21" s="5"/>
      <c r="N21" s="5"/>
      <c r="O21" s="5"/>
      <c r="P21" s="6"/>
      <c r="Q21" s="6"/>
      <c r="R21" s="4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4"/>
      <c r="G22" s="3"/>
      <c r="H22" s="4"/>
      <c r="I22" s="5"/>
      <c r="J22" s="4"/>
      <c r="K22" s="4"/>
      <c r="L22" s="5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4"/>
      <c r="K23" s="62"/>
      <c r="L23" s="63"/>
      <c r="M23" s="5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7"/>
      <c r="G24" s="3"/>
      <c r="H24" s="4"/>
      <c r="I24" s="5"/>
      <c r="J24" s="5"/>
      <c r="K24" s="5"/>
      <c r="L24" s="4"/>
      <c r="M24" s="4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62"/>
      <c r="L36" s="63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2"/>
      <c r="I42" s="63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2"/>
      <c r="L43" s="63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2"/>
      <c r="L60" s="63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2"/>
      <c r="L88" s="63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2"/>
      <c r="L92" s="63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2"/>
      <c r="M97" s="63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2"/>
      <c r="L102" s="63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2"/>
      <c r="I114" s="63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2"/>
      <c r="I115" s="63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2"/>
      <c r="I124" s="63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2"/>
      <c r="I165" s="63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2"/>
      <c r="L168" s="63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2"/>
      <c r="L170" s="63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2"/>
      <c r="L171" s="63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2"/>
      <c r="L173" s="63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2"/>
      <c r="M205" s="63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2"/>
      <c r="I207" s="63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2"/>
      <c r="L209" s="63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2"/>
      <c r="L215" s="63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2"/>
      <c r="L220" s="63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2"/>
      <c r="I223" s="63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2"/>
      <c r="I224" s="63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2"/>
      <c r="I227" s="63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2"/>
      <c r="L230" s="63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2"/>
      <c r="M231" s="63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2"/>
      <c r="I244" s="63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2"/>
      <c r="I245" s="63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2"/>
      <c r="I246" s="63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2"/>
      <c r="I249" s="63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2"/>
      <c r="I250" s="63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2"/>
      <c r="I252" s="63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2"/>
      <c r="L261" s="63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2"/>
      <c r="I262" s="63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2"/>
      <c r="I265" s="63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2"/>
      <c r="I266" s="63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2"/>
      <c r="I267" s="63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2"/>
      <c r="I271" s="63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2"/>
      <c r="I272" s="63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2"/>
      <c r="I273" s="63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2"/>
      <c r="I282" s="63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2"/>
      <c r="L295" s="63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2"/>
      <c r="L297" s="63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2"/>
      <c r="L302" s="63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2"/>
      <c r="R303" s="63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2"/>
      <c r="I313" s="63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2"/>
      <c r="L318" s="63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2"/>
      <c r="R329" s="63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2"/>
      <c r="I346" s="63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2"/>
      <c r="M347" s="63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2"/>
      <c r="L354" s="63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2"/>
      <c r="R365" s="63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2"/>
      <c r="M381" s="63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2"/>
      <c r="I387" s="63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2"/>
      <c r="L389" s="63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2"/>
      <c r="L394" s="63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2"/>
      <c r="L432" s="63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2"/>
      <c r="I433" s="63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2"/>
      <c r="L436" s="63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2"/>
      <c r="I437" s="63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2"/>
      <c r="L444" s="63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2"/>
      <c r="I446" s="63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2"/>
      <c r="I470" s="63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2"/>
      <c r="I471" s="63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2"/>
      <c r="I472" s="63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2"/>
      <c r="I473" s="63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2"/>
      <c r="I474" s="63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2"/>
      <c r="I475" s="63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2"/>
      <c r="I476" s="63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2"/>
      <c r="I477" s="63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2"/>
      <c r="I478" s="63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2"/>
      <c r="R479" s="63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2"/>
      <c r="I480" s="63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2"/>
      <c r="R481" s="63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2"/>
      <c r="I484" s="63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2"/>
      <c r="L492" s="63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2"/>
      <c r="I496" s="63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2"/>
      <c r="M497" s="63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2"/>
      <c r="I498" s="63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2"/>
      <c r="M501" s="63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2"/>
      <c r="L504" s="63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2"/>
      <c r="R505" s="63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2"/>
      <c r="I508" s="63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2"/>
      <c r="L513" s="63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2"/>
      <c r="R515" s="63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2"/>
      <c r="L524" s="63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2"/>
      <c r="I537" s="63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2"/>
      <c r="I540" s="63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2"/>
      <c r="R580" s="63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2"/>
      <c r="M582" s="63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2"/>
      <c r="I590" s="63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2"/>
      <c r="M592" s="63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2"/>
      <c r="M599" s="63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2"/>
      <c r="R609" s="63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2"/>
      <c r="L612" s="63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2"/>
      <c r="I617" s="63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2"/>
      <c r="L633" s="63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2"/>
      <c r="R640" s="63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2"/>
      <c r="I643" s="63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2"/>
      <c r="M660" s="63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2"/>
      <c r="M661" s="63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2"/>
      <c r="I662" s="63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2"/>
      <c r="L664" s="63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2"/>
      <c r="L665" s="63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2"/>
      <c r="L666" s="63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2"/>
      <c r="R667" s="63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2"/>
      <c r="R670" s="63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2"/>
      <c r="I673" s="63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2"/>
      <c r="R674" s="63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2"/>
      <c r="R676" s="63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2"/>
      <c r="L681" s="63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2"/>
      <c r="L689" s="63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2"/>
      <c r="L692" s="63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2"/>
      <c r="L693" s="63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2"/>
      <c r="R703" s="63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2"/>
      <c r="I704" s="63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2"/>
      <c r="L706" s="63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2"/>
      <c r="I707" s="63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2"/>
      <c r="R710" s="63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2"/>
      <c r="R711" s="63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2"/>
      <c r="I718" s="63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2"/>
      <c r="I721" s="63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2"/>
      <c r="M724" s="63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2"/>
      <c r="L733" s="63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2"/>
      <c r="M737" s="63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2"/>
      <c r="M748" s="63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2"/>
      <c r="M750" s="63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2"/>
      <c r="L791" s="63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2"/>
      <c r="I804" s="63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2"/>
      <c r="M814" s="63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2"/>
      <c r="I816" s="63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2"/>
      <c r="R818" s="63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2"/>
      <c r="I820" s="63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2"/>
      <c r="M823" s="63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2"/>
      <c r="I840" s="63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2"/>
      <c r="I841" s="63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2"/>
      <c r="I855" s="63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2"/>
      <c r="I856" s="63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2"/>
      <c r="L862" s="63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2"/>
      <c r="I876" s="63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2"/>
      <c r="I880" s="63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2"/>
      <c r="R895" s="63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2"/>
      <c r="I896" s="63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2"/>
      <c r="I907" s="63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2"/>
      <c r="M911" s="63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2"/>
      <c r="I920" s="63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2"/>
      <c r="L921" s="63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2"/>
      <c r="L925" s="63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2"/>
      <c r="M926" s="63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2"/>
      <c r="I941" s="63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2"/>
      <c r="I982" s="63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2"/>
      <c r="I983" s="63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2"/>
      <c r="I987" s="63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2"/>
      <c r="L994" s="63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2"/>
      <c r="I1014" s="63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2"/>
      <c r="L1025" s="63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2"/>
      <c r="L1029" s="63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2"/>
      <c r="I1086" s="63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2"/>
      <c r="I1087" s="63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2"/>
      <c r="R1088" s="63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2"/>
      <c r="I1091" s="63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2"/>
      <c r="L1094" s="63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2"/>
      <c r="I1106" s="63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2"/>
      <c r="M1150" s="63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2"/>
      <c r="I1162" s="63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2"/>
      <c r="R1198" s="63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2"/>
      <c r="R1199" s="63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2"/>
      <c r="I1202" s="63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2"/>
      <c r="I1203" s="63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2"/>
      <c r="I1206" s="63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2"/>
      <c r="L1208" s="63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2"/>
      <c r="L1211" s="63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2"/>
      <c r="I1215" s="63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2"/>
      <c r="I1220" s="63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2"/>
      <c r="I1253" s="63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2"/>
      <c r="I1254" s="63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2"/>
      <c r="I1255" s="63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2"/>
      <c r="I1256" s="63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2"/>
      <c r="I1257" s="63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2"/>
      <c r="L1258" s="63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2"/>
      <c r="L1315" s="63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2"/>
      <c r="L1317" s="63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2"/>
      <c r="L1318" s="63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2"/>
      <c r="L1320" s="63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2"/>
      <c r="L1335" s="63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2"/>
      <c r="I1347" s="63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2"/>
      <c r="I1354" s="63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2"/>
      <c r="I1356" s="63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2"/>
      <c r="I1358" s="63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2"/>
      <c r="M1361" s="63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2"/>
      <c r="L1362" s="63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2"/>
      <c r="L1365" s="63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2"/>
      <c r="L1366" s="63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2"/>
      <c r="I1367" s="63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2"/>
      <c r="I1378" s="63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2"/>
      <c r="I1383" s="63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2"/>
      <c r="I1387" s="63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2"/>
      <c r="L1396" s="63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2"/>
      <c r="L1397" s="63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2"/>
      <c r="L1406" s="63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2"/>
      <c r="I1407" s="63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2"/>
      <c r="I1415" s="63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2"/>
      <c r="L1417" s="63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2"/>
      <c r="R1458" s="63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2"/>
      <c r="M1478" s="63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2"/>
      <c r="L1480" s="63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2"/>
      <c r="L1481" s="63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2"/>
      <c r="R1486" s="63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2"/>
      <c r="R1501" s="63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2"/>
      <c r="M1505" s="63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2"/>
      <c r="I1507" s="63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2"/>
      <c r="I1511" s="63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2"/>
      <c r="I1521" s="63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2"/>
      <c r="L1537" s="63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2"/>
      <c r="L1538" s="63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2"/>
      <c r="L1539" s="63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2"/>
      <c r="I1621" s="63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2"/>
      <c r="I1622" s="63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2"/>
      <c r="I1623" s="63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2"/>
      <c r="I1624" s="63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2"/>
      <c r="I1625" s="63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2"/>
      <c r="I1626" s="63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2"/>
      <c r="L1637" s="63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2"/>
      <c r="L1638" s="63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2"/>
      <c r="I1765" s="63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2"/>
      <c r="I1766" s="63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2"/>
      <c r="I1767" s="63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2"/>
      <c r="I1768" s="63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2"/>
      <c r="I1769" s="63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2"/>
      <c r="I1903" s="63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2"/>
      <c r="M1917" s="63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2"/>
      <c r="L1931" s="63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2"/>
      <c r="L1932" s="63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2"/>
      <c r="L1933" s="63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2"/>
      <c r="I1941" s="63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2"/>
      <c r="L1943" s="63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2"/>
      <c r="L1944" s="63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2"/>
      <c r="I1950" s="63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2"/>
      <c r="I1951" s="63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2"/>
      <c r="L1957" s="63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2"/>
      <c r="L1959" s="63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2"/>
      <c r="I1963" s="63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2"/>
      <c r="I1964" s="63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2"/>
      <c r="I1965" s="63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2"/>
      <c r="I1977" s="63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2"/>
      <c r="I1986" s="63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2"/>
      <c r="I1988" s="63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2"/>
      <c r="L1990" s="63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2"/>
      <c r="M2005" s="63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2"/>
      <c r="I2008" s="63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2"/>
      <c r="I2009" s="63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2"/>
      <c r="I2029" s="63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2"/>
      <c r="I2053" s="63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2"/>
      <c r="I2074" s="63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2"/>
      <c r="I2201" s="63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2"/>
      <c r="I2220" s="63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2"/>
      <c r="L2228" s="63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2"/>
      <c r="I2244" s="63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2"/>
      <c r="I2245" s="63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2"/>
      <c r="I2246" s="63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2"/>
      <c r="I2247" s="63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2"/>
      <c r="I2276" s="63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2"/>
      <c r="L2284" s="63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2"/>
      <c r="L2285" s="63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2"/>
      <c r="L2286" s="63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2"/>
      <c r="L2562" s="63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2"/>
      <c r="L2563" s="63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2"/>
      <c r="I2835" s="63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2"/>
      <c r="L2837" s="63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2"/>
      <c r="L2838" s="63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2"/>
      <c r="L2839" s="63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2"/>
      <c r="I2919" s="63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2"/>
      <c r="M2927" s="63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2"/>
      <c r="I3022" s="63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2"/>
      <c r="I3025" s="63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2"/>
      <c r="I3027" s="63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2"/>
      <c r="L3048" s="63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2"/>
      <c r="L3050" s="63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2"/>
      <c r="L3053" s="63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2"/>
      <c r="L3056" s="63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2"/>
      <c r="L3058" s="63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2"/>
      <c r="L3060" s="63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2"/>
      <c r="I3064" s="63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2"/>
      <c r="I3065" s="63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2"/>
      <c r="I3067" s="63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2"/>
      <c r="L3075" s="63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2"/>
      <c r="L3076" s="63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2"/>
      <c r="L3078" s="63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2"/>
      <c r="L3080" s="63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2"/>
      <c r="L3083" s="63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2"/>
      <c r="L3084" s="63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2"/>
      <c r="I3188" s="63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2"/>
      <c r="I3189" s="63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2"/>
      <c r="L3206" s="63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2"/>
      <c r="L3208" s="63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2"/>
      <c r="L3209" s="63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2"/>
      <c r="L3210" s="63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2"/>
      <c r="L3212" s="63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2"/>
      <c r="L3213" s="63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2"/>
      <c r="L3214" s="63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2"/>
      <c r="L3215" s="63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2"/>
      <c r="L3217" s="63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2"/>
      <c r="L3218" s="63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2"/>
      <c r="L3220" s="63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2"/>
      <c r="L3222" s="63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2"/>
      <c r="I3340" s="63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2"/>
      <c r="L3352" s="63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2"/>
      <c r="L3355" s="63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2"/>
      <c r="L3356" s="63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2"/>
      <c r="R3382" s="63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2"/>
      <c r="R3420" s="63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2"/>
      <c r="I3506" s="63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2"/>
      <c r="I3507" s="63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2"/>
      <c r="I3508" s="63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2"/>
      <c r="I3509" s="63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2"/>
      <c r="I3510" s="63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2"/>
      <c r="L3521" s="63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2"/>
      <c r="I3548" s="63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2"/>
      <c r="I3549" s="63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2"/>
      <c r="I3550" s="63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2"/>
      <c r="I3551" s="63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2"/>
      <c r="I3552" s="63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2"/>
      <c r="I3553" s="63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2"/>
      <c r="I3554" s="63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2"/>
      <c r="L3563" s="63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2"/>
      <c r="L3564" s="63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2"/>
      <c r="L3565" s="63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2"/>
      <c r="I3573" s="63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2"/>
      <c r="I3574" s="63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2"/>
      <c r="I3575" s="63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2"/>
      <c r="L3585" s="63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2"/>
      <c r="L3589" s="63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2"/>
      <c r="M3590" s="63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2"/>
      <c r="I3597" s="63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2"/>
      <c r="I3610" s="63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2"/>
      <c r="R3615" s="63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2"/>
      <c r="I3616" s="63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2"/>
      <c r="I3617" s="63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2"/>
      <c r="L3631" s="63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2"/>
      <c r="L3632" s="63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2"/>
      <c r="L3633" s="63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2"/>
      <c r="L3634" s="63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2"/>
      <c r="I3684" s="63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2"/>
      <c r="I3685" s="63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2"/>
      <c r="I3686" s="63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2"/>
      <c r="L3703" s="63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2"/>
      <c r="L3704" s="63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2"/>
      <c r="L3705" s="63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2"/>
      <c r="L3706" s="63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2"/>
      <c r="R3727" s="63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2"/>
      <c r="I3728" s="63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2"/>
      <c r="I3729" s="63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2"/>
      <c r="I3730" s="63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2"/>
      <c r="M3735" s="63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2"/>
      <c r="L3748" s="63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2"/>
      <c r="L3749" s="63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2"/>
      <c r="L3750" s="63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2"/>
      <c r="L3751" s="63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2"/>
      <c r="I3771" s="63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2"/>
      <c r="I3772" s="63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2"/>
      <c r="I3773" s="63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2"/>
      <c r="M3784" s="63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2"/>
      <c r="M3785" s="63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2"/>
      <c r="M3786" s="63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2"/>
      <c r="L3790" s="63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2"/>
      <c r="L3791" s="63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2"/>
      <c r="L3792" s="63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2"/>
      <c r="L3793" s="63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2"/>
      <c r="L3794" s="63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2"/>
      <c r="L3795" s="63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2"/>
      <c r="L3796" s="63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2"/>
      <c r="L3797" s="63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2"/>
      <c r="L3798" s="63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2"/>
      <c r="L3799" s="63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2"/>
      <c r="L3800" s="63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2"/>
      <c r="L3801" s="63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2"/>
      <c r="L3802" s="63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2"/>
      <c r="L3803" s="63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2"/>
      <c r="L3804" s="63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2"/>
      <c r="L3805" s="63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2"/>
      <c r="L3806" s="63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2"/>
      <c r="L3807" s="63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2"/>
      <c r="L3808" s="63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2"/>
      <c r="R3852" s="63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2"/>
      <c r="I3854" s="63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2"/>
      <c r="I3855" s="63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2"/>
      <c r="I3856" s="63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2"/>
      <c r="I3857" s="63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2"/>
      <c r="I3858" s="63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2"/>
      <c r="I3859" s="63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2"/>
      <c r="I3860" s="63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2"/>
      <c r="I3861" s="63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2"/>
      <c r="I3862" s="63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2"/>
      <c r="I3863" s="63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2"/>
      <c r="I3864" s="63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2"/>
      <c r="I3865" s="63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2"/>
      <c r="I3866" s="63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2"/>
      <c r="I3867" s="63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2"/>
      <c r="I3868" s="63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2"/>
      <c r="I3869" s="63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2"/>
      <c r="I3870" s="63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2"/>
      <c r="M3891" s="63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2"/>
      <c r="L3895" s="63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2"/>
      <c r="L3896" s="63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2"/>
      <c r="L3897" s="63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2"/>
      <c r="L3898" s="63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2"/>
      <c r="L3899" s="63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2"/>
      <c r="L3900" s="63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2"/>
      <c r="L3901" s="63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2"/>
      <c r="L3903" s="63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2"/>
      <c r="L3904" s="63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2"/>
      <c r="L3905" s="63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2"/>
      <c r="L3906" s="63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2"/>
      <c r="L3907" s="63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2"/>
      <c r="L3908" s="63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2"/>
      <c r="L3909" s="63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2"/>
      <c r="L3910" s="63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2"/>
      <c r="L3911" s="63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20"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K18:L18"/>
    <mergeCell ref="K23:L23"/>
    <mergeCell ref="K36:L36"/>
    <mergeCell ref="H42:I42"/>
    <mergeCell ref="K43:L43"/>
    <mergeCell ref="K60:L60"/>
    <mergeCell ref="K88:L88"/>
    <mergeCell ref="K92:L92"/>
    <mergeCell ref="H252:I252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4" t="s">
        <v>23</v>
      </c>
      <c r="B1" s="63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5" t="s">
        <v>8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">_xlfn._xlws.FILTER('Data Sheet'!A:A,'Data Sheet'!H:H=A2,"NA")</f>
        <v>10358</v>
      </c>
      <c r="B4" s="21" t="str">
        <f>_xlfn.IFNA(VLOOKUP($A4,'Data Sheet'!$A:B,2,FALSE),"NA")</f>
        <v>16/11/2021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01/10/2021</v>
      </c>
      <c r="G4" s="24">
        <f>_xlfn.IFNA(VLOOKUP($A4,'Data Sheet'!$A:G,7,FALSE),"NA")</f>
        <v>0</v>
      </c>
      <c r="H4" s="24" t="str">
        <f>_xlfn.IFNA(VLOOKUP($A4,'Data Sheet'!$A:H,8,FALSE),"NA")</f>
        <v>I. Congenital Malformations of the Respiratory Tract</v>
      </c>
      <c r="I4" s="25" t="str">
        <f>_xlfn.IFNA(VLOOKUP($A4,'Data Sheet'!$A:I,9,FALSE),"NA")</f>
        <v>D. Laryngeal, Tracheal and Esophageal Deformities</v>
      </c>
      <c r="J4" s="24" t="str">
        <f>_xlfn.IFNA(VLOOKUP($A4,'Data Sheet'!$A:S,19,FALSE),"NA")</f>
        <v>Q31.5</v>
      </c>
      <c r="K4" s="25" t="str">
        <f>_xlfn.IFNA(VLOOKUP($A4,'Data Sheet'!$A:T,20,FALSE),"NA")</f>
        <v>Layngomalacia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20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10359</v>
      </c>
      <c r="B4" s="21" t="str">
        <f>_xlfn.IFNA(VLOOKUP($A4,'Data Sheet'!$A:B,2,FALSE),"NA")</f>
        <v>16/11/2021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Female</v>
      </c>
      <c r="F4" s="23" t="str">
        <f>_xlfn.IFNA(VLOOKUP($A4,'Data Sheet'!$A:F,6,FALSE),"NA")</f>
        <v>01/10/2021</v>
      </c>
      <c r="G4" s="24">
        <f>_xlfn.IFNA(VLOOKUP($A4,'Data Sheet'!$A:G,7,FALSE),"NA")</f>
        <v>0</v>
      </c>
      <c r="H4" s="25" t="str">
        <f>_xlfn.IFNA(VLOOKUP($A4,'Data Sheet'!$A:H,8,FALSE),"NA")</f>
        <v>II. Respiratory Disorders of the Newborn</v>
      </c>
      <c r="I4" s="24" t="str">
        <f>_xlfn.IFNA(VLOOKUP($A4,'Data Sheet'!$A:S,19,FALSE),"NA")</f>
        <v>P23.9</v>
      </c>
      <c r="J4" s="25" t="str">
        <f>_xlfn.IFNA(VLOOKUP($A4,'Data Sheet'!$A:T,20,FALSE),"NA")</f>
        <v>Neonatal Pneumonia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21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9</v>
      </c>
      <c r="B2" s="63"/>
      <c r="C2" s="63"/>
      <c r="D2" s="63"/>
      <c r="E2" s="63"/>
      <c r="F2" s="63"/>
      <c r="G2" s="63"/>
      <c r="H2" s="63"/>
      <c r="I2" s="63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8">_xlfn._xlws.FILTER('Data Sheet'!A:A,'Data Sheet'!H:H=A2,"NA")</f>
        <v>10357</v>
      </c>
      <c r="B4" s="22" t="str">
        <f>_xlfn.IFNA(VLOOKUP($A4,'Data Sheet'!$A:B,2,FALSE),"NA")</f>
        <v>16/11/2021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05/09/2004</v>
      </c>
      <c r="G4" s="24">
        <f>_xlfn.IFNA(VLOOKUP($A4,'Data Sheet'!$A:G,7,FALSE),"NA")</f>
        <v>17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1. Pneumonia, community acquired- (PCAP A, B, C or D)</v>
      </c>
      <c r="J4" s="24" t="str">
        <f>_xlfn.IFNA(VLOOKUP($A4,'Data Sheet'!$A:S,19,FALSE),"NA")</f>
        <v>J12.82</v>
      </c>
      <c r="K4" s="25" t="str">
        <f>_xlfn.IFNA(VLOOKUP($A4,'Data Sheet'!$A:T,20,FALSE),"NA")</f>
        <v>COVID-19, Severe</v>
      </c>
    </row>
    <row r="5" spans="1:20" ht="13" x14ac:dyDescent="0.15">
      <c r="A5" s="20">
        <v>10356</v>
      </c>
      <c r="B5" s="22" t="str">
        <f>_xlfn.IFNA(VLOOKUP($A5,'Data Sheet'!$A:B,2,FALSE),"NA")</f>
        <v>16/11/2021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05/09/2004</v>
      </c>
      <c r="G5" s="26">
        <f>_xlfn.IFNA(VLOOKUP($A5,'Data Sheet'!$A:G,7,FALSE),"NA")</f>
        <v>17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8 Pulmonary Tuberculosis (Exposure, Latent TB infection, TB Disease)</v>
      </c>
      <c r="J5" s="26" t="str">
        <f>_xlfn.IFNA(VLOOKUP($A5,'Data Sheet'!$A:S,19,FALSE),"NA")</f>
        <v>A17.0</v>
      </c>
      <c r="K5" s="29" t="str">
        <f>_xlfn.IFNA(VLOOKUP($A5,'Data Sheet'!$A:T,20,FALSE),"NA")</f>
        <v>Tuberculous Meningitis</v>
      </c>
    </row>
    <row r="6" spans="1:20" ht="13" x14ac:dyDescent="0.15">
      <c r="A6" s="20">
        <v>10355</v>
      </c>
      <c r="B6" s="22" t="str">
        <f>_xlfn.IFNA(VLOOKUP($A6,'Data Sheet'!$A:B,2,FALSE),"NA")</f>
        <v>16/11/2021</v>
      </c>
      <c r="C6" s="22" t="str">
        <f>_xlfn.IFNA(VLOOKUP($A6,'Data Sheet'!$A:C,3,FALSE),"NA")</f>
        <v>ust.registry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05/09/2004</v>
      </c>
      <c r="G6" s="26">
        <f>_xlfn.IFNA(VLOOKUP($A6,'Data Sheet'!$A:G,7,FALSE),"NA")</f>
        <v>17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8 Pulmonary Tuberculosis (Exposure, Latent TB infection, TB Disease)</v>
      </c>
      <c r="J6" s="26" t="str">
        <f>_xlfn.IFNA(VLOOKUP($A6,'Data Sheet'!$A:S,19,FALSE),"NA")</f>
        <v>A15</v>
      </c>
      <c r="K6" s="29" t="str">
        <f>_xlfn.IFNA(VLOOKUP($A6,'Data Sheet'!$A:T,20,FALSE),"NA")</f>
        <v>Pulmonary Tuberculosis</v>
      </c>
    </row>
    <row r="7" spans="1:20" ht="13" x14ac:dyDescent="0.15">
      <c r="A7" s="20">
        <v>10353</v>
      </c>
      <c r="B7" s="22" t="str">
        <f>_xlfn.IFNA(VLOOKUP($A7,'Data Sheet'!$A:B,2,FALSE),"NA")</f>
        <v>16/11/2021</v>
      </c>
      <c r="C7" s="22" t="str">
        <f>_xlfn.IFNA(VLOOKUP($A7,'Data Sheet'!$A:C,3,FALSE),"NA")</f>
        <v>ust.registry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27/01/2020</v>
      </c>
      <c r="G7" s="26">
        <f>_xlfn.IFNA(VLOOKUP($A7,'Data Sheet'!$A:G,7,FALSE),"NA")</f>
        <v>1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8 Pulmonary Tuberculosis (Exposure, Latent TB infection, TB Disease)</v>
      </c>
      <c r="J7" s="26" t="str">
        <f>_xlfn.IFNA(VLOOKUP($A7,'Data Sheet'!$A:S,19,FALSE),"NA")</f>
        <v>A15</v>
      </c>
      <c r="K7" s="29" t="str">
        <f>_xlfn.IFNA(VLOOKUP($A7,'Data Sheet'!$A:T,20,FALSE),"NA")</f>
        <v>Pulmonary Tuberculosis</v>
      </c>
    </row>
    <row r="8" spans="1:20" ht="13" x14ac:dyDescent="0.15">
      <c r="A8" s="20">
        <v>10351</v>
      </c>
      <c r="B8" s="22" t="str">
        <f>_xlfn.IFNA(VLOOKUP($A8,'Data Sheet'!$A:B,2,FALSE),"NA")</f>
        <v>16/11/2021</v>
      </c>
      <c r="C8" s="22" t="str">
        <f>_xlfn.IFNA(VLOOKUP($A8,'Data Sheet'!$A:C,3,FALSE),"NA")</f>
        <v>ust.registry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19/03/2005</v>
      </c>
      <c r="G8" s="26">
        <f>_xlfn.IFNA(VLOOKUP($A8,'Data Sheet'!$A:G,7,FALSE),"NA")</f>
        <v>16</v>
      </c>
      <c r="H8" s="29" t="str">
        <f>_xlfn.IFNA(VLOOKUP($A8,'Data Sheet'!$A:J,10,FALSE),"NA")</f>
        <v>B. Lower Respiratory Tract</v>
      </c>
      <c r="I8" s="29" t="str">
        <f>_xlfn.IFNA(VLOOKUP($A8,'Data Sheet'!$A:K,11,FALSE),"NA")</f>
        <v>1. Pneumonia, community acquired- (PCAP A, B, C or D)</v>
      </c>
      <c r="J8" s="26" t="str">
        <f>_xlfn.IFNA(VLOOKUP($A8,'Data Sheet'!$A:S,19,FALSE),"NA")</f>
        <v>J12.82</v>
      </c>
      <c r="K8" s="29" t="str">
        <f>_xlfn.IFNA(VLOOKUP($A8,'Data Sheet'!$A:T,20,FALSE),"NA")</f>
        <v>COVID-19, Moderate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11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10350</v>
      </c>
      <c r="B4" s="21" t="str">
        <f>_xlfn.IFNA(VLOOKUP($A4,'Data Sheet'!$A:B,2,FALSE),"NA")</f>
        <v>16/11/2021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19/03/2005</v>
      </c>
      <c r="G4" s="24">
        <f>_xlfn.IFNA(VLOOKUP($A4,'Data Sheet'!$A:G,7,FALSE),"NA")</f>
        <v>16</v>
      </c>
      <c r="H4" s="25" t="str">
        <f>_xlfn.IFNA(VLOOKUP($A4,'Data Sheet'!$A:L,12,FALSE),"NA")</f>
        <v>A. Pleural effusion</v>
      </c>
      <c r="I4" s="24" t="str">
        <f>_xlfn.IFNA(VLOOKUP($A4,'Data Sheet'!$A:S,19,FALSE),"NA")</f>
        <v>J90</v>
      </c>
      <c r="J4" s="25" t="str">
        <f>_xlfn.IFNA(VLOOKUP($A4,'Data Sheet'!$A:T,20,FALSE),"NA")</f>
        <v>Reactive Pleural Effusion due to Peritonitis secondary to Ruptured Appendicitis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23</v>
      </c>
      <c r="B1" s="63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13</v>
      </c>
      <c r="B2" s="63"/>
      <c r="C2" s="63"/>
      <c r="D2" s="63"/>
      <c r="E2" s="63"/>
      <c r="F2" s="63"/>
      <c r="G2" s="63"/>
      <c r="H2" s="63"/>
      <c r="I2" s="63"/>
      <c r="J2" s="63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Sheet'!$A:N,14,FALSE),"NA")</f>
        <v>NA</v>
      </c>
      <c r="I4" s="29" t="str">
        <f>_xlfn.IFNA(VLOOKUP($A4,'Data Sheet'!$A:O,15,FALSE),"NA")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Mervyn C. Tan</cp:lastModifiedBy>
  <dcterms:modified xsi:type="dcterms:W3CDTF">2021-11-16T12:42:56Z</dcterms:modified>
</cp:coreProperties>
</file>